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ro\Desktop\"/>
    </mc:Choice>
  </mc:AlternateContent>
  <xr:revisionPtr revIDLastSave="0" documentId="13_ncr:1_{083D0AF9-F867-449C-828E-84A5296AC0E1}" xr6:coauthVersionLast="45" xr6:coauthVersionMax="45" xr10:uidLastSave="{00000000-0000-0000-0000-000000000000}"/>
  <bookViews>
    <workbookView xWindow="-96" yWindow="-96" windowWidth="19392" windowHeight="10392" activeTab="3" xr2:uid="{4EC4122E-0AA7-460C-AF9C-876EFAF468EA}"/>
  </bookViews>
  <sheets>
    <sheet name="עלויות" sheetId="2" r:id="rId1"/>
    <sheet name="מימון" sheetId="3" r:id="rId2"/>
    <sheet name="חישובי פרמטרים" sheetId="4" r:id="rId3"/>
    <sheet name="אפשרויות בחירה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9" i="3" l="1"/>
  <c r="B30" i="3"/>
  <c r="B23" i="4"/>
  <c r="B24" i="4"/>
  <c r="B27" i="4" l="1"/>
  <c r="M83" i="2" l="1"/>
  <c r="M103" i="2"/>
  <c r="M102" i="2"/>
  <c r="C47" i="2" l="1"/>
  <c r="D72" i="2" l="1"/>
  <c r="E72" i="2"/>
  <c r="F72" i="2"/>
  <c r="G72" i="2"/>
  <c r="C72" i="2"/>
  <c r="D61" i="2"/>
  <c r="E61" i="2"/>
  <c r="F61" i="2"/>
  <c r="G61" i="2"/>
  <c r="C61" i="2"/>
  <c r="C59" i="2"/>
  <c r="C50" i="2"/>
  <c r="C49" i="2"/>
  <c r="C60" i="2" s="1"/>
  <c r="D48" i="2"/>
  <c r="E48" i="2"/>
  <c r="F48" i="2"/>
  <c r="G48" i="2"/>
  <c r="C48" i="2"/>
  <c r="C58" i="2"/>
  <c r="E37" i="2"/>
  <c r="F37" i="2" s="1"/>
  <c r="G37" i="2" s="1"/>
  <c r="H37" i="2" s="1"/>
  <c r="E36" i="2"/>
  <c r="F36" i="2" s="1"/>
  <c r="G36" i="2" s="1"/>
  <c r="H36" i="2" s="1"/>
  <c r="G50" i="2" s="1"/>
  <c r="E35" i="2"/>
  <c r="F35" i="2" s="1"/>
  <c r="D34" i="2"/>
  <c r="C69" i="2" s="1"/>
  <c r="E33" i="2"/>
  <c r="F33" i="2" s="1"/>
  <c r="G33" i="2" s="1"/>
  <c r="H33" i="2" s="1"/>
  <c r="E32" i="2"/>
  <c r="F32" i="2" s="1"/>
  <c r="G32" i="2" s="1"/>
  <c r="H32" i="2" s="1"/>
  <c r="E31" i="2"/>
  <c r="D59" i="2" s="1"/>
  <c r="E30" i="2"/>
  <c r="F30" i="2" s="1"/>
  <c r="H24" i="2"/>
  <c r="H22" i="2"/>
  <c r="H23" i="2"/>
  <c r="H21" i="2"/>
  <c r="G24" i="2"/>
  <c r="K61" i="2" s="1"/>
  <c r="G22" i="2"/>
  <c r="G23" i="2"/>
  <c r="G21" i="2"/>
  <c r="F24" i="2"/>
  <c r="F22" i="2"/>
  <c r="F23" i="2"/>
  <c r="F21" i="2"/>
  <c r="E24" i="2"/>
  <c r="E22" i="2"/>
  <c r="E23" i="2"/>
  <c r="E21" i="2"/>
  <c r="D24" i="2"/>
  <c r="D23" i="2"/>
  <c r="D22" i="2"/>
  <c r="D21" i="2"/>
  <c r="B16" i="4"/>
  <c r="B17" i="4"/>
  <c r="B14" i="4"/>
  <c r="D38" i="2"/>
  <c r="B22" i="4"/>
  <c r="B21" i="4"/>
  <c r="C71" i="2" l="1"/>
  <c r="M61" i="2"/>
  <c r="N61" i="2"/>
  <c r="C63" i="2"/>
  <c r="C87" i="2" s="1"/>
  <c r="O72" i="2"/>
  <c r="H58" i="2"/>
  <c r="O61" i="2"/>
  <c r="H60" i="2"/>
  <c r="M60" i="2"/>
  <c r="J61" i="2"/>
  <c r="H61" i="2"/>
  <c r="I61" i="2"/>
  <c r="M72" i="2"/>
  <c r="N72" i="2"/>
  <c r="L61" i="2"/>
  <c r="Q72" i="2"/>
  <c r="C70" i="2"/>
  <c r="H70" i="2" s="1"/>
  <c r="P61" i="2"/>
  <c r="H59" i="2"/>
  <c r="P72" i="2"/>
  <c r="M59" i="2"/>
  <c r="M71" i="2"/>
  <c r="H71" i="2"/>
  <c r="C73" i="2"/>
  <c r="C89" i="2" s="1"/>
  <c r="M69" i="2"/>
  <c r="H69" i="2"/>
  <c r="N59" i="2"/>
  <c r="N63" i="2" s="1"/>
  <c r="N87" i="2" s="1"/>
  <c r="I59" i="2"/>
  <c r="H47" i="2"/>
  <c r="M58" i="2"/>
  <c r="I72" i="2"/>
  <c r="K72" i="2"/>
  <c r="C62" i="2"/>
  <c r="C86" i="2" s="1"/>
  <c r="J72" i="2"/>
  <c r="Q61" i="2"/>
  <c r="P48" i="2"/>
  <c r="L72" i="2"/>
  <c r="H72" i="2"/>
  <c r="D63" i="2"/>
  <c r="D87" i="2" s="1"/>
  <c r="G52" i="2"/>
  <c r="G84" i="2" s="1"/>
  <c r="M48" i="2"/>
  <c r="C51" i="2"/>
  <c r="C83" i="2" s="1"/>
  <c r="C52" i="2"/>
  <c r="C84" i="2" s="1"/>
  <c r="E47" i="2"/>
  <c r="E58" i="2" s="1"/>
  <c r="Q48" i="2"/>
  <c r="H49" i="2"/>
  <c r="O48" i="2"/>
  <c r="I48" i="2"/>
  <c r="E49" i="2"/>
  <c r="M50" i="2"/>
  <c r="L50" i="2"/>
  <c r="Q50" i="2"/>
  <c r="K48" i="2"/>
  <c r="F50" i="2"/>
  <c r="F52" i="2" s="1"/>
  <c r="F84" i="2" s="1"/>
  <c r="H50" i="2"/>
  <c r="J48" i="2"/>
  <c r="M49" i="2"/>
  <c r="M47" i="2"/>
  <c r="D49" i="2"/>
  <c r="D60" i="2" s="1"/>
  <c r="E50" i="2"/>
  <c r="E52" i="2" s="1"/>
  <c r="E84" i="2" s="1"/>
  <c r="H48" i="2"/>
  <c r="N48" i="2"/>
  <c r="D47" i="2"/>
  <c r="D58" i="2" s="1"/>
  <c r="D50" i="2"/>
  <c r="D52" i="2" s="1"/>
  <c r="D84" i="2" s="1"/>
  <c r="L48" i="2"/>
  <c r="E34" i="2"/>
  <c r="G30" i="2"/>
  <c r="F47" i="2" s="1"/>
  <c r="F58" i="2" s="1"/>
  <c r="G35" i="2"/>
  <c r="F49" i="2" s="1"/>
  <c r="F60" i="2" s="1"/>
  <c r="F38" i="2"/>
  <c r="E71" i="2" s="1"/>
  <c r="F31" i="2"/>
  <c r="E38" i="2"/>
  <c r="D71" i="2" s="1"/>
  <c r="B9" i="4"/>
  <c r="B6" i="4"/>
  <c r="B10" i="4" s="1"/>
  <c r="B15" i="4" s="1"/>
  <c r="C88" i="2" l="1"/>
  <c r="C102" i="2"/>
  <c r="C105" i="2"/>
  <c r="C108" i="2"/>
  <c r="C85" i="2"/>
  <c r="I63" i="2"/>
  <c r="I87" i="2" s="1"/>
  <c r="G38" i="2"/>
  <c r="F71" i="2" s="1"/>
  <c r="P71" i="2" s="1"/>
  <c r="C64" i="2"/>
  <c r="M63" i="2"/>
  <c r="M87" i="2" s="1"/>
  <c r="H74" i="2"/>
  <c r="H90" i="2" s="1"/>
  <c r="H62" i="2"/>
  <c r="H86" i="2" s="1"/>
  <c r="H88" i="2" s="1"/>
  <c r="H51" i="2"/>
  <c r="H83" i="2" s="1"/>
  <c r="C53" i="2"/>
  <c r="M62" i="2"/>
  <c r="M86" i="2" s="1"/>
  <c r="M88" i="2" s="1"/>
  <c r="L52" i="2"/>
  <c r="L84" i="2" s="1"/>
  <c r="H73" i="2"/>
  <c r="H89" i="2" s="1"/>
  <c r="H91" i="2" s="1"/>
  <c r="M73" i="2"/>
  <c r="M89" i="2" s="1"/>
  <c r="C74" i="2"/>
  <c r="M70" i="2"/>
  <c r="M74" i="2" s="1"/>
  <c r="M90" i="2" s="1"/>
  <c r="H63" i="2"/>
  <c r="H87" i="2" s="1"/>
  <c r="D69" i="2"/>
  <c r="D70" i="2"/>
  <c r="O71" i="2"/>
  <c r="J71" i="2"/>
  <c r="J49" i="2"/>
  <c r="E60" i="2"/>
  <c r="K71" i="2"/>
  <c r="G31" i="2"/>
  <c r="G34" i="2" s="1"/>
  <c r="E59" i="2"/>
  <c r="P60" i="2"/>
  <c r="K60" i="2"/>
  <c r="O58" i="2"/>
  <c r="J58" i="2"/>
  <c r="I71" i="2"/>
  <c r="N71" i="2"/>
  <c r="K58" i="2"/>
  <c r="F62" i="2"/>
  <c r="F86" i="2" s="1"/>
  <c r="P58" i="2"/>
  <c r="I58" i="2"/>
  <c r="N58" i="2"/>
  <c r="N60" i="2"/>
  <c r="I60" i="2"/>
  <c r="D62" i="2"/>
  <c r="F51" i="2"/>
  <c r="E51" i="2"/>
  <c r="O49" i="2"/>
  <c r="O47" i="2"/>
  <c r="H30" i="2"/>
  <c r="G47" i="2" s="1"/>
  <c r="G58" i="2" s="1"/>
  <c r="H52" i="2"/>
  <c r="M51" i="2"/>
  <c r="D51" i="2"/>
  <c r="J47" i="2"/>
  <c r="Q52" i="2"/>
  <c r="Q84" i="2" s="1"/>
  <c r="M52" i="2"/>
  <c r="M84" i="2" s="1"/>
  <c r="M85" i="2" s="1"/>
  <c r="F34" i="2"/>
  <c r="J50" i="2"/>
  <c r="J52" i="2" s="1"/>
  <c r="J84" i="2" s="1"/>
  <c r="O50" i="2"/>
  <c r="O52" i="2" s="1"/>
  <c r="O84" i="2" s="1"/>
  <c r="P50" i="2"/>
  <c r="P52" i="2" s="1"/>
  <c r="P84" i="2" s="1"/>
  <c r="K50" i="2"/>
  <c r="K52" i="2" s="1"/>
  <c r="K84" i="2" s="1"/>
  <c r="N47" i="2"/>
  <c r="I47" i="2"/>
  <c r="I49" i="2"/>
  <c r="N49" i="2"/>
  <c r="K49" i="2"/>
  <c r="P49" i="2"/>
  <c r="N50" i="2"/>
  <c r="N52" i="2" s="1"/>
  <c r="N84" i="2" s="1"/>
  <c r="I50" i="2"/>
  <c r="I52" i="2" s="1"/>
  <c r="I84" i="2" s="1"/>
  <c r="P47" i="2"/>
  <c r="K47" i="2"/>
  <c r="H35" i="2"/>
  <c r="D21" i="3"/>
  <c r="B15" i="3"/>
  <c r="D15" i="3"/>
  <c r="M91" i="2" l="1"/>
  <c r="D64" i="2"/>
  <c r="D86" i="2"/>
  <c r="D88" i="2" s="1"/>
  <c r="C75" i="2"/>
  <c r="C90" i="2"/>
  <c r="H109" i="2"/>
  <c r="H103" i="2"/>
  <c r="H112" i="2" s="1"/>
  <c r="H106" i="2"/>
  <c r="M109" i="2"/>
  <c r="M112" i="2"/>
  <c r="M106" i="2"/>
  <c r="H105" i="2"/>
  <c r="H107" i="2" s="1"/>
  <c r="H108" i="2"/>
  <c r="H110" i="2" s="1"/>
  <c r="H102" i="2"/>
  <c r="M105" i="2"/>
  <c r="M108" i="2"/>
  <c r="M110" i="2" s="1"/>
  <c r="C111" i="2"/>
  <c r="H53" i="2"/>
  <c r="H84" i="2"/>
  <c r="E53" i="2"/>
  <c r="E83" i="2"/>
  <c r="F53" i="2"/>
  <c r="F83" i="2"/>
  <c r="H85" i="2"/>
  <c r="D53" i="2"/>
  <c r="D83" i="2"/>
  <c r="M64" i="2"/>
  <c r="H75" i="2"/>
  <c r="H64" i="2"/>
  <c r="J51" i="2"/>
  <c r="M75" i="2"/>
  <c r="N62" i="2"/>
  <c r="O51" i="2"/>
  <c r="P62" i="2"/>
  <c r="P86" i="2" s="1"/>
  <c r="Q47" i="2"/>
  <c r="K62" i="2"/>
  <c r="K86" i="2" s="1"/>
  <c r="E70" i="2"/>
  <c r="E69" i="2"/>
  <c r="Q58" i="2"/>
  <c r="L58" i="2"/>
  <c r="O59" i="2"/>
  <c r="O63" i="2" s="1"/>
  <c r="O87" i="2" s="1"/>
  <c r="J59" i="2"/>
  <c r="J63" i="2" s="1"/>
  <c r="J87" i="2" s="1"/>
  <c r="E63" i="2"/>
  <c r="E87" i="2" s="1"/>
  <c r="F69" i="2"/>
  <c r="F70" i="2"/>
  <c r="H31" i="2"/>
  <c r="G59" i="2" s="1"/>
  <c r="F59" i="2"/>
  <c r="O60" i="2"/>
  <c r="O62" i="2" s="1"/>
  <c r="O86" i="2" s="1"/>
  <c r="J60" i="2"/>
  <c r="J62" i="2" s="1"/>
  <c r="J86" i="2" s="1"/>
  <c r="E62" i="2"/>
  <c r="E86" i="2" s="1"/>
  <c r="D74" i="2"/>
  <c r="D90" i="2" s="1"/>
  <c r="I70" i="2"/>
  <c r="I74" i="2" s="1"/>
  <c r="I90" i="2" s="1"/>
  <c r="N70" i="2"/>
  <c r="N74" i="2" s="1"/>
  <c r="N90" i="2" s="1"/>
  <c r="N51" i="2"/>
  <c r="I62" i="2"/>
  <c r="N69" i="2"/>
  <c r="N73" i="2" s="1"/>
  <c r="N89" i="2" s="1"/>
  <c r="N91" i="2" s="1"/>
  <c r="I69" i="2"/>
  <c r="I73" i="2" s="1"/>
  <c r="I89" i="2" s="1"/>
  <c r="D73" i="2"/>
  <c r="D89" i="2" s="1"/>
  <c r="M53" i="2"/>
  <c r="K51" i="2"/>
  <c r="P51" i="2"/>
  <c r="I51" i="2"/>
  <c r="L47" i="2"/>
  <c r="H38" i="2"/>
  <c r="G71" i="2" s="1"/>
  <c r="G49" i="2"/>
  <c r="D18" i="3"/>
  <c r="D13" i="3"/>
  <c r="B25" i="3" l="1"/>
  <c r="B31" i="3"/>
  <c r="B32" i="3" s="1"/>
  <c r="I91" i="2"/>
  <c r="J88" i="2"/>
  <c r="O88" i="2"/>
  <c r="M107" i="2"/>
  <c r="D91" i="2"/>
  <c r="E88" i="2"/>
  <c r="D85" i="2"/>
  <c r="D105" i="2"/>
  <c r="D102" i="2"/>
  <c r="D108" i="2"/>
  <c r="E85" i="2"/>
  <c r="N64" i="2"/>
  <c r="N86" i="2"/>
  <c r="N88" i="2" s="1"/>
  <c r="N106" i="2"/>
  <c r="N109" i="2"/>
  <c r="N103" i="2"/>
  <c r="N112" i="2" s="1"/>
  <c r="I109" i="2"/>
  <c r="I106" i="2"/>
  <c r="I103" i="2"/>
  <c r="I64" i="2"/>
  <c r="I86" i="2"/>
  <c r="I88" i="2" s="1"/>
  <c r="D106" i="2"/>
  <c r="D103" i="2"/>
  <c r="D112" i="2" s="1"/>
  <c r="D109" i="2"/>
  <c r="F85" i="2"/>
  <c r="C106" i="2"/>
  <c r="C107" i="2" s="1"/>
  <c r="C103" i="2"/>
  <c r="C109" i="2"/>
  <c r="C110" i="2" s="1"/>
  <c r="C91" i="2"/>
  <c r="H104" i="2"/>
  <c r="H111" i="2"/>
  <c r="H113" i="2" s="1"/>
  <c r="M111" i="2"/>
  <c r="M113" i="2" s="1"/>
  <c r="M104" i="2"/>
  <c r="N53" i="2"/>
  <c r="N83" i="2"/>
  <c r="N102" i="2" s="1"/>
  <c r="J53" i="2"/>
  <c r="J83" i="2"/>
  <c r="I53" i="2"/>
  <c r="I83" i="2"/>
  <c r="P53" i="2"/>
  <c r="P83" i="2"/>
  <c r="O53" i="2"/>
  <c r="O83" i="2"/>
  <c r="K53" i="2"/>
  <c r="K83" i="2"/>
  <c r="H34" i="2"/>
  <c r="G70" i="2" s="1"/>
  <c r="J64" i="2"/>
  <c r="D75" i="2"/>
  <c r="N75" i="2"/>
  <c r="K70" i="2"/>
  <c r="K74" i="2" s="1"/>
  <c r="K90" i="2" s="1"/>
  <c r="P70" i="2"/>
  <c r="P74" i="2" s="1"/>
  <c r="P90" i="2" s="1"/>
  <c r="F74" i="2"/>
  <c r="F90" i="2" s="1"/>
  <c r="O64" i="2"/>
  <c r="Q71" i="2"/>
  <c r="L71" i="2"/>
  <c r="I75" i="2"/>
  <c r="P59" i="2"/>
  <c r="P63" i="2" s="1"/>
  <c r="K59" i="2"/>
  <c r="K63" i="2" s="1"/>
  <c r="F63" i="2"/>
  <c r="J70" i="2"/>
  <c r="J74" i="2" s="1"/>
  <c r="J90" i="2" s="1"/>
  <c r="O70" i="2"/>
  <c r="O74" i="2" s="1"/>
  <c r="O90" i="2" s="1"/>
  <c r="E74" i="2"/>
  <c r="E90" i="2" s="1"/>
  <c r="G51" i="2"/>
  <c r="G60" i="2"/>
  <c r="P69" i="2"/>
  <c r="P73" i="2" s="1"/>
  <c r="K69" i="2"/>
  <c r="K73" i="2" s="1"/>
  <c r="K89" i="2" s="1"/>
  <c r="K91" i="2" s="1"/>
  <c r="F73" i="2"/>
  <c r="F89" i="2" s="1"/>
  <c r="F108" i="2" s="1"/>
  <c r="O69" i="2"/>
  <c r="O73" i="2" s="1"/>
  <c r="O89" i="2" s="1"/>
  <c r="J69" i="2"/>
  <c r="J73" i="2" s="1"/>
  <c r="J89" i="2" s="1"/>
  <c r="E73" i="2"/>
  <c r="E64" i="2"/>
  <c r="Q59" i="2"/>
  <c r="Q63" i="2" s="1"/>
  <c r="Q87" i="2" s="1"/>
  <c r="L59" i="2"/>
  <c r="L63" i="2" s="1"/>
  <c r="L87" i="2" s="1"/>
  <c r="G63" i="2"/>
  <c r="G87" i="2" s="1"/>
  <c r="L49" i="2"/>
  <c r="L51" i="2" s="1"/>
  <c r="Q49" i="2"/>
  <c r="Q51" i="2" s="1"/>
  <c r="F64" i="2" l="1"/>
  <c r="F87" i="2"/>
  <c r="F88" i="2" s="1"/>
  <c r="K64" i="2"/>
  <c r="K87" i="2"/>
  <c r="K88" i="2" s="1"/>
  <c r="D107" i="2"/>
  <c r="J91" i="2"/>
  <c r="P64" i="2"/>
  <c r="P87" i="2"/>
  <c r="P88" i="2" s="1"/>
  <c r="F102" i="2"/>
  <c r="D110" i="2"/>
  <c r="P75" i="2"/>
  <c r="P89" i="2"/>
  <c r="P91" i="2" s="1"/>
  <c r="P85" i="2"/>
  <c r="J85" i="2"/>
  <c r="J108" i="2"/>
  <c r="J102" i="2"/>
  <c r="J105" i="2"/>
  <c r="F103" i="2"/>
  <c r="F109" i="2"/>
  <c r="F110" i="2" s="1"/>
  <c r="D111" i="2"/>
  <c r="D113" i="2" s="1"/>
  <c r="D104" i="2"/>
  <c r="O103" i="2"/>
  <c r="O106" i="2"/>
  <c r="O112" i="2" s="1"/>
  <c r="O109" i="2"/>
  <c r="K85" i="2"/>
  <c r="K105" i="2"/>
  <c r="K108" i="2"/>
  <c r="K102" i="2"/>
  <c r="O91" i="2"/>
  <c r="J106" i="2"/>
  <c r="J112" i="2" s="1"/>
  <c r="J109" i="2"/>
  <c r="J103" i="2"/>
  <c r="F91" i="2"/>
  <c r="O85" i="2"/>
  <c r="O108" i="2"/>
  <c r="O105" i="2"/>
  <c r="O102" i="2"/>
  <c r="I85" i="2"/>
  <c r="I108" i="2"/>
  <c r="I110" i="2" s="1"/>
  <c r="I102" i="2"/>
  <c r="I111" i="2" s="1"/>
  <c r="I105" i="2"/>
  <c r="I107" i="2" s="1"/>
  <c r="N85" i="2"/>
  <c r="N105" i="2"/>
  <c r="N107" i="2" s="1"/>
  <c r="N108" i="2"/>
  <c r="N110" i="2" s="1"/>
  <c r="C112" i="2"/>
  <c r="C113" i="2" s="1"/>
  <c r="C104" i="2"/>
  <c r="F105" i="2"/>
  <c r="I104" i="2"/>
  <c r="I112" i="2"/>
  <c r="E75" i="2"/>
  <c r="E89" i="2"/>
  <c r="E109" i="2"/>
  <c r="E103" i="2"/>
  <c r="E106" i="2"/>
  <c r="E112" i="2" s="1"/>
  <c r="Q53" i="2"/>
  <c r="Q83" i="2"/>
  <c r="G53" i="2"/>
  <c r="G83" i="2"/>
  <c r="L53" i="2"/>
  <c r="L83" i="2"/>
  <c r="G69" i="2"/>
  <c r="G73" i="2" s="1"/>
  <c r="G89" i="2" s="1"/>
  <c r="K75" i="2"/>
  <c r="O75" i="2"/>
  <c r="Q60" i="2"/>
  <c r="Q62" i="2" s="1"/>
  <c r="L60" i="2"/>
  <c r="L62" i="2" s="1"/>
  <c r="G62" i="2"/>
  <c r="J75" i="2"/>
  <c r="F75" i="2"/>
  <c r="Q70" i="2"/>
  <c r="Q74" i="2" s="1"/>
  <c r="Q90" i="2" s="1"/>
  <c r="L70" i="2"/>
  <c r="L74" i="2" s="1"/>
  <c r="L90" i="2" s="1"/>
  <c r="G74" i="2"/>
  <c r="G90" i="2" s="1"/>
  <c r="B6" i="3"/>
  <c r="B18" i="3"/>
  <c r="B16" i="3"/>
  <c r="K109" i="2" l="1"/>
  <c r="O104" i="2"/>
  <c r="P103" i="2"/>
  <c r="P108" i="2"/>
  <c r="L69" i="2"/>
  <c r="L73" i="2" s="1"/>
  <c r="L89" i="2" s="1"/>
  <c r="P102" i="2"/>
  <c r="Q69" i="2"/>
  <c r="Q73" i="2" s="1"/>
  <c r="Q89" i="2" s="1"/>
  <c r="Q91" i="2" s="1"/>
  <c r="O110" i="2"/>
  <c r="P106" i="2"/>
  <c r="P112" i="2" s="1"/>
  <c r="P105" i="2"/>
  <c r="P111" i="2" s="1"/>
  <c r="P113" i="2" s="1"/>
  <c r="K103" i="2"/>
  <c r="K104" i="2" s="1"/>
  <c r="P109" i="2"/>
  <c r="K106" i="2"/>
  <c r="K112" i="2" s="1"/>
  <c r="F106" i="2"/>
  <c r="F112" i="2" s="1"/>
  <c r="L85" i="2"/>
  <c r="G64" i="2"/>
  <c r="G86" i="2"/>
  <c r="G88" i="2" s="1"/>
  <c r="J104" i="2"/>
  <c r="G103" i="2"/>
  <c r="G106" i="2"/>
  <c r="G109" i="2"/>
  <c r="G112" i="2" s="1"/>
  <c r="L91" i="2"/>
  <c r="L64" i="2"/>
  <c r="L86" i="2"/>
  <c r="L88" i="2" s="1"/>
  <c r="G91" i="2"/>
  <c r="I113" i="2"/>
  <c r="J110" i="2"/>
  <c r="L103" i="2"/>
  <c r="L106" i="2"/>
  <c r="L109" i="2"/>
  <c r="L112" i="2" s="1"/>
  <c r="Q64" i="2"/>
  <c r="Q86" i="2"/>
  <c r="Q88" i="2" s="1"/>
  <c r="Q85" i="2"/>
  <c r="N111" i="2"/>
  <c r="N113" i="2" s="1"/>
  <c r="N104" i="2"/>
  <c r="E91" i="2"/>
  <c r="E108" i="2"/>
  <c r="E110" i="2" s="1"/>
  <c r="E102" i="2"/>
  <c r="E104" i="2" s="1"/>
  <c r="E105" i="2"/>
  <c r="F111" i="2"/>
  <c r="F113" i="2" s="1"/>
  <c r="F107" i="2"/>
  <c r="O107" i="2"/>
  <c r="O111" i="2"/>
  <c r="O113" i="2" s="1"/>
  <c r="K110" i="2"/>
  <c r="J111" i="2"/>
  <c r="J113" i="2" s="1"/>
  <c r="J107" i="2"/>
  <c r="P104" i="2"/>
  <c r="F104" i="2"/>
  <c r="Q109" i="2"/>
  <c r="Q112" i="2" s="1"/>
  <c r="Q103" i="2"/>
  <c r="Q106" i="2"/>
  <c r="G85" i="2"/>
  <c r="G102" i="2"/>
  <c r="G108" i="2"/>
  <c r="G105" i="2"/>
  <c r="G107" i="2" s="1"/>
  <c r="K111" i="2"/>
  <c r="K113" i="2" s="1"/>
  <c r="G75" i="2"/>
  <c r="L75" i="2"/>
  <c r="Q75" i="2"/>
  <c r="B13" i="3"/>
  <c r="L108" i="2" l="1"/>
  <c r="L102" i="2"/>
  <c r="L105" i="2"/>
  <c r="L107" i="2" s="1"/>
  <c r="Q105" i="2"/>
  <c r="Q107" i="2" s="1"/>
  <c r="K107" i="2"/>
  <c r="P107" i="2"/>
  <c r="P110" i="2"/>
  <c r="L111" i="2"/>
  <c r="L113" i="2" s="1"/>
  <c r="L110" i="2"/>
  <c r="E107" i="2"/>
  <c r="E111" i="2"/>
  <c r="E113" i="2" s="1"/>
  <c r="Q108" i="2"/>
  <c r="G111" i="2"/>
  <c r="G113" i="2" s="1"/>
  <c r="G110" i="2"/>
  <c r="Q102" i="2"/>
  <c r="Q104" i="2" s="1"/>
  <c r="L104" i="2"/>
  <c r="G104" i="2"/>
  <c r="Q110" i="2" l="1"/>
  <c r="Q111" i="2"/>
  <c r="Q1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 Leyzer</author>
  </authors>
  <commentList>
    <comment ref="B8" authorId="0" shapeId="0" xr:uid="{5AD8EFDE-8D7B-4EA8-9688-BE1558A4884D}">
      <text>
        <r>
          <rPr>
            <b/>
            <sz val="9"/>
            <color indexed="81"/>
            <rFont val="Tahoma"/>
            <family val="2"/>
          </rPr>
          <t>שיעור מוערך על פי קצב הגידול בשנים 2000-2018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 Leyzer</author>
  </authors>
  <commentList>
    <comment ref="B4" authorId="0" shapeId="0" xr:uid="{BB1752EA-212B-4B6F-A20D-17D047059C58}">
      <text>
        <r>
          <rPr>
            <b/>
            <sz val="9"/>
            <color indexed="81"/>
            <rFont val="Tahoma"/>
            <family val="2"/>
          </rPr>
          <t>מתוך כלל המשפחות שמקבלות קצבת ילדים, כ-60% זה עבור ילד ראשון או שני, ו-כ-40% עבור ילד שלישי ואילך (2018)</t>
        </r>
      </text>
    </comment>
    <comment ref="B5" authorId="0" shapeId="0" xr:uid="{3065627C-440A-4DF8-A497-EC59D2FFF961}">
      <text>
        <r>
          <rPr>
            <b/>
            <sz val="9"/>
            <color indexed="81"/>
            <rFont val="Tahoma"/>
            <family val="2"/>
          </rPr>
          <t>מתוך כלל המשפחות שמקבלות קצבת ילדים, כ-60% זה עבור ילד ראשון או שני, ו-כ-40% עבור ילד שלישי ואילך (2018)</t>
        </r>
      </text>
    </comment>
    <comment ref="B7" authorId="0" shapeId="0" xr:uid="{08E8465D-0C13-4B23-BBB7-CB2E423BB086}">
      <text>
        <r>
          <rPr>
            <b/>
            <sz val="9"/>
            <color indexed="81"/>
            <rFont val="Tahoma"/>
            <family val="2"/>
          </rPr>
          <t>ההנחה היא שעבור כל ילד שנולד, הן האב והן האם זכאים למענק לידה. 2018.</t>
        </r>
      </text>
    </comment>
    <comment ref="B9" authorId="0" shapeId="0" xr:uid="{6A943053-521B-4A89-891B-BB8A59A2CA2E}">
      <text>
        <r>
          <rPr>
            <b/>
            <sz val="9"/>
            <color indexed="81"/>
            <rFont val="Tahoma"/>
            <family val="2"/>
          </rPr>
          <t>אחוז מקבלות דמי לידה מסך מקבלות מענק לידה, 2018</t>
        </r>
      </text>
    </comment>
    <comment ref="B13" authorId="0" shapeId="0" xr:uid="{4E88396B-525D-4E24-9A5C-0A0D415F0F4E}">
      <text>
        <r>
          <rPr>
            <b/>
            <sz val="9"/>
            <color indexed="81"/>
            <rFont val="Tahoma"/>
            <family val="2"/>
          </rPr>
          <t>טבלה 7.1.2
2018</t>
        </r>
      </text>
    </comment>
    <comment ref="A14" authorId="0" shapeId="0" xr:uid="{6E0E0615-10A4-43A9-9DBF-643D12B80BA0}">
      <text>
        <r>
          <rPr>
            <b/>
            <sz val="9"/>
            <color indexed="81"/>
            <rFont val="Tahoma"/>
            <family val="2"/>
          </rPr>
          <t>תשלום הקצבאות הינו עד גיל 18.</t>
        </r>
      </text>
    </comment>
    <comment ref="B15" authorId="0" shapeId="0" xr:uid="{0E91483E-AAA4-45FD-9AFB-A45336D7F3A5}">
      <text>
        <r>
          <rPr>
            <b/>
            <sz val="9"/>
            <color indexed="81"/>
            <rFont val="Tahoma"/>
            <family val="2"/>
          </rPr>
          <t>טבלה 2.3: אוכלוסייה, לפי קבוצת אוכלוסייה, דת, מין וגיל.
שיעור בני ה-15-17 (לא כולל 18) מכלל הילדים בני 0-17 בשנת 2017.</t>
        </r>
      </text>
    </comment>
    <comment ref="B16" authorId="0" shapeId="0" xr:uid="{12738F98-EF89-41F6-A547-E8375F5C37F1}">
      <text>
        <r>
          <rPr>
            <sz val="9"/>
            <color indexed="81"/>
            <rFont val="Tahoma"/>
            <family val="2"/>
          </rPr>
          <t>טבלה 6.1.2
2018</t>
        </r>
      </text>
    </comment>
    <comment ref="B18" authorId="0" shapeId="0" xr:uid="{918B5398-6A94-4E45-AE0B-7F6A8CD6F224}">
      <text>
        <r>
          <rPr>
            <b/>
            <sz val="9"/>
            <color indexed="81"/>
            <rFont val="Tahoma"/>
            <family val="2"/>
          </rPr>
          <t xml:space="preserve">טבלה 7.1.2, שנת 2018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 Leyzer</author>
  </authors>
  <commentList>
    <comment ref="B5" authorId="0" shapeId="0" xr:uid="{C5754755-EA1F-4E45-BDAA-DB69A452BF24}">
      <text>
        <r>
          <rPr>
            <b/>
            <sz val="9"/>
            <color indexed="81"/>
            <rFont val="Tahoma"/>
            <family val="2"/>
          </rPr>
          <t>מתוך כלל המשפחות שמקבלות קצבת ילדים, כ-60% זה עבור ילד ראשון או שני, ו-כ-40% עבור ילד שלישי ואילך (2018)</t>
        </r>
      </text>
    </comment>
    <comment ref="B7" authorId="0" shapeId="0" xr:uid="{6CC038D4-2E9C-4803-8069-A20D518333B5}">
      <text>
        <r>
          <rPr>
            <b/>
            <sz val="9"/>
            <color indexed="81"/>
            <rFont val="Tahoma"/>
            <family val="2"/>
          </rPr>
          <t>ההנחה היא שעבור כל ילד שנולד, הן האב והן האם זכאים למענק לידה. 2018.</t>
        </r>
      </text>
    </comment>
    <comment ref="B8" authorId="0" shapeId="0" xr:uid="{BE423ECF-93F2-4C5E-965F-2F34A06CA3D0}">
      <text>
        <r>
          <rPr>
            <b/>
            <sz val="9"/>
            <color indexed="81"/>
            <rFont val="Tahoma"/>
            <family val="2"/>
          </rPr>
          <t>שיעור מוערך על פי קצב הגידול בשנים 2000-2018</t>
        </r>
      </text>
    </comment>
    <comment ref="B12" authorId="0" shapeId="0" xr:uid="{83B27EF2-776E-4FD9-82EA-F2615F9894E8}">
      <text>
        <r>
          <rPr>
            <b/>
            <sz val="9"/>
            <color indexed="81"/>
            <rFont val="Tahoma"/>
            <family val="2"/>
          </rPr>
          <t>אחוז מקבלות דמי לידה מסך מקבלות מענק לידה, 2018</t>
        </r>
      </text>
    </comment>
    <comment ref="B13" authorId="0" shapeId="0" xr:uid="{1601351C-37B7-4480-BCF2-9A2FC2881CAC}">
      <text>
        <r>
          <rPr>
            <b/>
            <sz val="9"/>
            <color indexed="81"/>
            <rFont val="Tahoma"/>
            <family val="2"/>
          </rPr>
          <t>ההערכה היא ששיעור הזכאות בקרב גברים יהיה גבוה יותר מזה של נשים, בהתאמה לשיעורי תעסוקה</t>
        </r>
      </text>
    </comment>
    <comment ref="B19" authorId="0" shapeId="0" xr:uid="{F35C6887-3859-4EB0-B94D-8AF5726D132E}">
      <text>
        <r>
          <rPr>
            <b/>
            <sz val="9"/>
            <color indexed="81"/>
            <rFont val="Tahoma"/>
            <family val="2"/>
          </rPr>
          <t xml:space="preserve">שכר ממוצע שנת 2017. בממוצע ישנם 4.33 שבועות בחודש. האינפלציה ב-2018 היא 0.8%, שינוי בשכר בשנת 2018 היה 3.5 אחוז ביחס ל-2017. </t>
        </r>
      </text>
    </comment>
    <comment ref="B20" authorId="0" shapeId="0" xr:uid="{7CFA4420-318E-4257-ADBD-CC104C084562}">
      <text>
        <r>
          <rPr>
            <b/>
            <sz val="9"/>
            <color indexed="81"/>
            <rFont val="Tahoma"/>
            <family val="2"/>
          </rPr>
          <t xml:space="preserve">שכר ממוצע שנת 2017. בממוצע ישנם 4.33 שבועות בחודש. האינפלציה ב-2018 היא 0.8%, שינוי בשכר בשנת 2018 היה 3.5 אחוז ביחס ל-2017. </t>
        </r>
      </text>
    </comment>
    <comment ref="B22" authorId="0" shapeId="0" xr:uid="{0A115274-E090-418C-A1C9-47167AC53283}">
      <text>
        <r>
          <rPr>
            <b/>
            <sz val="9"/>
            <color indexed="81"/>
            <rFont val="Tahoma"/>
            <family val="2"/>
          </rPr>
          <t>העלות ששולמה על ידיי ביטוח לאומי בשנת 2018 היא 4,255 מיליון ש"ח.</t>
        </r>
      </text>
    </comment>
    <comment ref="B25" authorId="0" shapeId="0" xr:uid="{AD144E91-328B-41AD-B58B-D2AC36F0541E}">
      <text>
        <r>
          <rPr>
            <b/>
            <sz val="9"/>
            <color indexed="81"/>
            <rFont val="Tahoma"/>
          </rPr>
          <t>עליה ממוצעת על פני השנים 2000-2018.</t>
        </r>
      </text>
    </comment>
    <comment ref="B26" authorId="0" shapeId="0" xr:uid="{78E8412C-A027-4F61-AC30-A862ECCFA50C}">
      <text>
        <r>
          <rPr>
            <b/>
            <sz val="9"/>
            <color indexed="81"/>
            <rFont val="Tahoma"/>
            <family val="2"/>
          </rPr>
          <t xml:space="preserve">אינפלציה ממוצעת לשנים 2000-2018.
האינפלציה ב-2018 היא 0.8% https://www.inflation.eu/inflation-rates/israel/historic-inflation/cpi-inflation-israel.aspx </t>
        </r>
      </text>
    </comment>
  </commentList>
</comments>
</file>

<file path=xl/sharedStrings.xml><?xml version="1.0" encoding="utf-8"?>
<sst xmlns="http://schemas.openxmlformats.org/spreadsheetml/2006/main" count="209" uniqueCount="101">
  <si>
    <t>חישוב עלויות רפורמה, לו הייתה ממומשת ב-2018 במחירי 2018</t>
  </si>
  <si>
    <t>השנה מתוך תכנית החומש</t>
  </si>
  <si>
    <t>פרמטרים לחישוב עלויות</t>
  </si>
  <si>
    <t>ילודה</t>
  </si>
  <si>
    <t>שיעור זכאות</t>
  </si>
  <si>
    <t>שיעור זכאות נשים</t>
  </si>
  <si>
    <t>שיעור זכאות גברים (מוערך)</t>
  </si>
  <si>
    <t>נתוני שכר מחירי 2018</t>
  </si>
  <si>
    <t>שכר שבועי ממוצע נשים</t>
  </si>
  <si>
    <t>שכר שבועי ממוצע גברים</t>
  </si>
  <si>
    <t>סה"כ</t>
  </si>
  <si>
    <t>חישוב עלויות רפורמה, לו הייתה ממומשת ב-2018 במחירי 2018 (מיליונים)</t>
  </si>
  <si>
    <t>מקבלות/ מקבלי מענק לידה</t>
  </si>
  <si>
    <t>בונוס*</t>
  </si>
  <si>
    <t>עלות</t>
  </si>
  <si>
    <t>פרמטרים לחישוב מימון</t>
  </si>
  <si>
    <t>מקורות מימון (מליונים)</t>
  </si>
  <si>
    <t>דמי אשפוז</t>
  </si>
  <si>
    <t>סך תשלומי לידה לאם</t>
  </si>
  <si>
    <t>סך מענקי אשפוז</t>
  </si>
  <si>
    <t>סך קצבאות ילדים</t>
  </si>
  <si>
    <t>סך הסכום למימון</t>
  </si>
  <si>
    <t>מקבלות מענק לידה</t>
  </si>
  <si>
    <t>שיעור גידול שנתי באוכלוסיית היולדות</t>
  </si>
  <si>
    <t>אינפלציה ממוצעת</t>
  </si>
  <si>
    <t>שיעור שינוי ממוצע שכר</t>
  </si>
  <si>
    <t>שיעור שינוי שכר ריאלי</t>
  </si>
  <si>
    <t>המודל</t>
  </si>
  <si>
    <t>ילד ראשון או שני</t>
  </si>
  <si>
    <t>קצבות ילדים בגילאי 15-17</t>
  </si>
  <si>
    <t>שיעור ילדים בגילאי 15-17</t>
  </si>
  <si>
    <t>סכום מענק לידה לילד ראשון</t>
  </si>
  <si>
    <t>סכום מענק לידה לילד שני</t>
  </si>
  <si>
    <t>סכום מענק לידה לילד שלישי ואילך</t>
  </si>
  <si>
    <t>כיום</t>
  </si>
  <si>
    <t>הצעה לשינוי</t>
  </si>
  <si>
    <t xml:space="preserve"> סך תשלום דמי לידה</t>
  </si>
  <si>
    <t>שיעור עלות אשפוז חורגת (הערכה)</t>
  </si>
  <si>
    <t>מענק לידה (לאם, בשקלים)</t>
  </si>
  <si>
    <t>הערות: חושב בהתבסס על 100% מימוש הטבה עבור נשים, שיעור תשלום הינו 100% עבור שבוע ללא תעסוקה, ו-50% עבור שבוע בתעסוקה חלקית.ההערכה היא ששיעור הזכאות הינו זהה על פני הלידות. ההנחה היא ששיעור הלידות של ילד ראשון ושני הינו יחסית קבוע על פני 5 שנים.</t>
  </si>
  <si>
    <t>תרחישים</t>
  </si>
  <si>
    <t>ילד שלישי ואילך</t>
  </si>
  <si>
    <t>סך הכל</t>
  </si>
  <si>
    <t>שיעור מוערך של לידה ראשונה ושניה מכלל הלידות</t>
  </si>
  <si>
    <t>שיעור מוערך של לידה שלישית ואילך מכלל הלידות</t>
  </si>
  <si>
    <t>שיעור מוערך של לידה ראשונה מכלל הלידות</t>
  </si>
  <si>
    <t>שיעור מוערך של לידה שניה מכלל הלידות</t>
  </si>
  <si>
    <t>אם</t>
  </si>
  <si>
    <t>אב</t>
  </si>
  <si>
    <t>סך היולדות ילד שלישי ואילך</t>
  </si>
  <si>
    <t>סך הזכאיות מתוך כלל היולדות ילד ראשון ושני</t>
  </si>
  <si>
    <t>סך הזכאיות מתוך כלל היולדות ילד שלישי ואילך</t>
  </si>
  <si>
    <t>סך היולדות ילד ראשון ושני</t>
  </si>
  <si>
    <t>יחס שכר בין גבר לאישה</t>
  </si>
  <si>
    <t>יחס העלות לשכר הנשים</t>
  </si>
  <si>
    <t>עלות לזכאי לשבוע (שקלים)</t>
  </si>
  <si>
    <t>עלות לזכאית לשבוע (שקלים)</t>
  </si>
  <si>
    <t>עלויות לשבוע (שקלים)</t>
  </si>
  <si>
    <t>עלות לזכאים פר שבוע</t>
  </si>
  <si>
    <t>שבועות ייעודי לאם</t>
  </si>
  <si>
    <t>שבועות ייעודי לאב</t>
  </si>
  <si>
    <t>לכלל הזכאיות</t>
  </si>
  <si>
    <t>לכלל הזכאים</t>
  </si>
  <si>
    <t>סך הזכאים מתוך כלל היולדים ילד ראשון ושני</t>
  </si>
  <si>
    <t>סך הזכאים מתוך כלל היולדים ילד שלישי ואילך</t>
  </si>
  <si>
    <t>ילד ראשון ושני</t>
  </si>
  <si>
    <t>שבועות חובה לאם</t>
  </si>
  <si>
    <t>שבועות חובה לאב</t>
  </si>
  <si>
    <t>שבועות שמומשו בפועל</t>
  </si>
  <si>
    <t>עלות תוספתית</t>
  </si>
  <si>
    <t>המודל כיום</t>
  </si>
  <si>
    <t>סהכ</t>
  </si>
  <si>
    <t>סהכ לפי מגדר</t>
  </si>
  <si>
    <t>שיעור לידות ראשונה ושניה מכלל הלידות</t>
  </si>
  <si>
    <t>שיעור לידות שלישית ואילך מכלל הלידות</t>
  </si>
  <si>
    <t xml:space="preserve">משק בית טיפוס א- אבות ממשים רק את חובתם, אמהות ממשות את כל התקופה הניתנת לחלוקה </t>
  </si>
  <si>
    <t>משק בית טיפוס ב- אבות ממשים את התקופה הנדרשת על מנת לזכות בבונוס, אמהות ממשות את כל התקופה הניתנת לחלוקה ואת הבונוס</t>
  </si>
  <si>
    <t>משק בית טיפוס ג- עבור ילד ראשון ושני אבות ממשים את מלוא התקופה הייעודית, התקופה הניתנת לחלוקה והבונוס מתחלקים באופן שוויוני, עבור ילד שלישי אבות ממשים 5 שבועות</t>
  </si>
  <si>
    <t>מספר שבועות שהאב מימש</t>
  </si>
  <si>
    <t>סה"כ משקי בית טיפוס א - "מסורתי"</t>
  </si>
  <si>
    <t>סה"כ משקי בית טיפוס ג - "פמיניסטי"</t>
  </si>
  <si>
    <t>סיכום טיפוסי משקי בית</t>
  </si>
  <si>
    <t>תחזית*</t>
  </si>
  <si>
    <t>שבועות לחלוקה</t>
  </si>
  <si>
    <t>שיעור משקי בית שמימשו הטבה כטיפוס א</t>
  </si>
  <si>
    <t>שיעור משקי בית שמימשו הטבה כטיפוס ב</t>
  </si>
  <si>
    <t>שיעור משקי בית שמימשו הטבה כטיפוס ג</t>
  </si>
  <si>
    <t>שיעור משפחות מטיפוסים שונים</t>
  </si>
  <si>
    <t>מספר שבועות אפשרי</t>
  </si>
  <si>
    <t>שקלול 1</t>
  </si>
  <si>
    <t>שקלול 2</t>
  </si>
  <si>
    <t>שקלול 3</t>
  </si>
  <si>
    <t>שקלול טיפוסי משקי בית</t>
  </si>
  <si>
    <t>סה"כ משקי בית טיפוס ב - "אסטרטגיי"</t>
  </si>
  <si>
    <t>*התחזית בנויה כך שבשנתיים הראשונות סביר כי שכלול משקי הבית יהיה על פי שקלול 1, בשנתיים לאחר מכן שקלול 2 ובשנה החמישית על פי שקלול 3</t>
  </si>
  <si>
    <t>*הבונוס ניתן במידה והאב לקח לפחות 50% מהתקופה הייעודית לו  (מעוגל כלפי מעלה כאשר מספר השבועות הניתנים לחלוקה אינו זוגי)</t>
  </si>
  <si>
    <t>קצבאות ילדים בגילאי 15-17</t>
  </si>
  <si>
    <t>שינוי מענק הלידה</t>
  </si>
  <si>
    <t>התאמת נוסחת מענק האשפוז</t>
  </si>
  <si>
    <t>סכום במיליוני ש"ח</t>
  </si>
  <si>
    <t>סעיף מימוני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</si>
</sst>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</font>
  </fonts>
  <fills count="9">
    <fill>
      <patternFill patternType="none"/>
    </fill>
    <fill>
      <patternFill patternType="gray125"/>
    </fill>
    <fill>
      <patternFill patternType="solid">
        <fgColor rgb="FFFF717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72">
    <xf numFmtId="0" fontId="0" fillId="0" borderId="0" xfId="0"/>
    <xf numFmtId="0" fontId="2" fillId="2" borderId="0" xfId="0" applyFont="1" applyFill="1"/>
    <xf numFmtId="0" fontId="0" fillId="0" borderId="1" xfId="0" applyBorder="1"/>
    <xf numFmtId="0" fontId="0" fillId="0" borderId="0" xfId="0" applyFill="1"/>
    <xf numFmtId="0" fontId="2" fillId="0" borderId="0" xfId="0" applyFont="1" applyFill="1"/>
    <xf numFmtId="0" fontId="3" fillId="0" borderId="0" xfId="0" applyFont="1" applyFill="1" applyBorder="1" applyAlignment="1">
      <alignment horizontal="right" readingOrder="2"/>
    </xf>
    <xf numFmtId="0" fontId="4" fillId="0" borderId="1" xfId="2" applyBorder="1"/>
    <xf numFmtId="3" fontId="0" fillId="0" borderId="1" xfId="0" applyNumberFormat="1" applyBorder="1"/>
    <xf numFmtId="164" fontId="0" fillId="0" borderId="1" xfId="1" applyNumberFormat="1" applyFont="1" applyBorder="1"/>
    <xf numFmtId="9" fontId="0" fillId="0" borderId="1" xfId="3" applyFont="1" applyBorder="1"/>
    <xf numFmtId="9" fontId="0" fillId="0" borderId="1" xfId="3" applyNumberFormat="1" applyFont="1" applyBorder="1"/>
    <xf numFmtId="9" fontId="4" fillId="0" borderId="1" xfId="3" applyNumberFormat="1" applyFont="1" applyBorder="1"/>
    <xf numFmtId="0" fontId="0" fillId="0" borderId="19" xfId="0" applyBorder="1"/>
    <xf numFmtId="164" fontId="0" fillId="0" borderId="0" xfId="1" applyNumberFormat="1" applyFont="1"/>
    <xf numFmtId="0" fontId="4" fillId="0" borderId="2" xfId="2" applyBorder="1"/>
    <xf numFmtId="10" fontId="0" fillId="0" borderId="1" xfId="0" applyNumberFormat="1" applyBorder="1"/>
    <xf numFmtId="0" fontId="7" fillId="0" borderId="1" xfId="2" applyFont="1" applyBorder="1"/>
    <xf numFmtId="10" fontId="0" fillId="5" borderId="1" xfId="3" applyNumberFormat="1" applyFont="1" applyFill="1" applyBorder="1"/>
    <xf numFmtId="43" fontId="0" fillId="0" borderId="0" xfId="0" applyNumberFormat="1"/>
    <xf numFmtId="0" fontId="0" fillId="0" borderId="10" xfId="0" applyBorder="1"/>
    <xf numFmtId="9" fontId="0" fillId="0" borderId="0" xfId="3" applyFont="1" applyBorder="1"/>
    <xf numFmtId="3" fontId="0" fillId="0" borderId="0" xfId="0" applyNumberFormat="1" applyBorder="1"/>
    <xf numFmtId="165" fontId="0" fillId="0" borderId="0" xfId="3" applyNumberFormat="1" applyFont="1" applyBorder="1"/>
    <xf numFmtId="9" fontId="0" fillId="0" borderId="0" xfId="3" applyNumberFormat="1" applyFont="1" applyBorder="1"/>
    <xf numFmtId="164" fontId="0" fillId="0" borderId="0" xfId="1" applyNumberFormat="1" applyFont="1" applyBorder="1"/>
    <xf numFmtId="0" fontId="0" fillId="0" borderId="0" xfId="0" applyFill="1" applyBorder="1" applyAlignment="1">
      <alignment horizontal="right"/>
    </xf>
    <xf numFmtId="9" fontId="4" fillId="0" borderId="0" xfId="3" applyNumberFormat="1" applyFont="1" applyBorder="1"/>
    <xf numFmtId="0" fontId="0" fillId="0" borderId="0" xfId="3" applyNumberFormat="1" applyFont="1" applyBorder="1"/>
    <xf numFmtId="0" fontId="0" fillId="4" borderId="22" xfId="0" applyFill="1" applyBorder="1"/>
    <xf numFmtId="0" fontId="2" fillId="2" borderId="5" xfId="0" applyFont="1" applyFill="1" applyBorder="1"/>
    <xf numFmtId="0" fontId="2" fillId="2" borderId="24" xfId="0" applyFont="1" applyFill="1" applyBorder="1"/>
    <xf numFmtId="0" fontId="2" fillId="2" borderId="8" xfId="0" applyFont="1" applyFill="1" applyBorder="1"/>
    <xf numFmtId="0" fontId="0" fillId="4" borderId="25" xfId="0" applyFill="1" applyBorder="1"/>
    <xf numFmtId="0" fontId="3" fillId="0" borderId="12" xfId="0" applyFont="1" applyFill="1" applyBorder="1" applyAlignment="1">
      <alignment horizontal="right" readingOrder="2"/>
    </xf>
    <xf numFmtId="0" fontId="3" fillId="0" borderId="13" xfId="0" applyFont="1" applyFill="1" applyBorder="1" applyAlignment="1">
      <alignment horizontal="right" readingOrder="2"/>
    </xf>
    <xf numFmtId="0" fontId="3" fillId="0" borderId="17" xfId="0" applyFont="1" applyFill="1" applyBorder="1" applyAlignment="1">
      <alignment horizontal="right" readingOrder="2"/>
    </xf>
    <xf numFmtId="0" fontId="0" fillId="0" borderId="22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164" fontId="6" fillId="0" borderId="0" xfId="0" applyNumberFormat="1" applyFont="1" applyFill="1" applyBorder="1"/>
    <xf numFmtId="0" fontId="0" fillId="0" borderId="0" xfId="0" applyFill="1" applyBorder="1"/>
    <xf numFmtId="164" fontId="0" fillId="0" borderId="0" xfId="0" applyNumberFormat="1"/>
    <xf numFmtId="9" fontId="0" fillId="0" borderId="1" xfId="0" applyNumberFormat="1" applyBorder="1"/>
    <xf numFmtId="0" fontId="0" fillId="3" borderId="1" xfId="0" applyFill="1" applyBorder="1"/>
    <xf numFmtId="0" fontId="0" fillId="3" borderId="32" xfId="0" applyFill="1" applyBorder="1"/>
    <xf numFmtId="0" fontId="4" fillId="0" borderId="19" xfId="2" applyBorder="1"/>
    <xf numFmtId="0" fontId="0" fillId="3" borderId="19" xfId="0" applyFill="1" applyBorder="1"/>
    <xf numFmtId="0" fontId="4" fillId="0" borderId="33" xfId="2" applyBorder="1"/>
    <xf numFmtId="164" fontId="0" fillId="0" borderId="11" xfId="1" applyNumberFormat="1" applyFont="1" applyBorder="1"/>
    <xf numFmtId="9" fontId="0" fillId="0" borderId="10" xfId="3" applyFont="1" applyBorder="1"/>
    <xf numFmtId="3" fontId="0" fillId="0" borderId="10" xfId="0" applyNumberFormat="1" applyBorder="1"/>
    <xf numFmtId="9" fontId="0" fillId="0" borderId="34" xfId="3" applyNumberFormat="1" applyFont="1" applyBorder="1"/>
    <xf numFmtId="0" fontId="2" fillId="2" borderId="35" xfId="0" applyFont="1" applyFill="1" applyBorder="1"/>
    <xf numFmtId="0" fontId="0" fillId="3" borderId="31" xfId="0" applyFill="1" applyBorder="1" applyAlignment="1">
      <alignment horizontal="right"/>
    </xf>
    <xf numFmtId="0" fontId="2" fillId="2" borderId="37" xfId="0" applyFont="1" applyFill="1" applyBorder="1"/>
    <xf numFmtId="0" fontId="2" fillId="2" borderId="36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12" fillId="0" borderId="0" xfId="0" applyFont="1" applyFill="1"/>
    <xf numFmtId="0" fontId="6" fillId="0" borderId="0" xfId="0" applyFont="1" applyFill="1" applyBorder="1" applyAlignment="1"/>
    <xf numFmtId="164" fontId="2" fillId="2" borderId="37" xfId="1" applyNumberFormat="1" applyFont="1" applyFill="1" applyBorder="1"/>
    <xf numFmtId="0" fontId="0" fillId="3" borderId="6" xfId="0" applyFill="1" applyBorder="1"/>
    <xf numFmtId="0" fontId="0" fillId="0" borderId="2" xfId="0" applyBorder="1"/>
    <xf numFmtId="0" fontId="0" fillId="3" borderId="2" xfId="0" applyFill="1" applyBorder="1"/>
    <xf numFmtId="164" fontId="0" fillId="0" borderId="2" xfId="1" applyNumberFormat="1" applyFont="1" applyBorder="1"/>
    <xf numFmtId="0" fontId="0" fillId="0" borderId="40" xfId="0" applyBorder="1"/>
    <xf numFmtId="0" fontId="0" fillId="3" borderId="41" xfId="0" applyFill="1" applyBorder="1"/>
    <xf numFmtId="164" fontId="0" fillId="0" borderId="42" xfId="1" applyNumberFormat="1" applyFont="1" applyBorder="1" applyAlignment="1">
      <alignment horizontal="center" vertical="center"/>
    </xf>
    <xf numFmtId="164" fontId="0" fillId="3" borderId="42" xfId="1" applyNumberFormat="1" applyFont="1" applyFill="1" applyBorder="1"/>
    <xf numFmtId="0" fontId="0" fillId="3" borderId="2" xfId="0" applyFill="1" applyBorder="1" applyAlignment="1"/>
    <xf numFmtId="0" fontId="0" fillId="3" borderId="42" xfId="0" applyFill="1" applyBorder="1" applyAlignment="1"/>
    <xf numFmtId="165" fontId="0" fillId="0" borderId="1" xfId="3" applyNumberFormat="1" applyFont="1" applyBorder="1"/>
    <xf numFmtId="164" fontId="7" fillId="0" borderId="1" xfId="1" applyNumberFormat="1" applyFont="1" applyBorder="1"/>
    <xf numFmtId="43" fontId="0" fillId="0" borderId="1" xfId="1" applyNumberFormat="1" applyFont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4" fontId="0" fillId="0" borderId="3" xfId="1" applyNumberFormat="1" applyFont="1" applyBorder="1"/>
    <xf numFmtId="0" fontId="0" fillId="0" borderId="1" xfId="0" applyFont="1" applyFill="1" applyBorder="1" applyAlignment="1">
      <alignment horizontal="right" readingOrder="2"/>
    </xf>
    <xf numFmtId="0" fontId="0" fillId="0" borderId="0" xfId="0" applyFont="1" applyFill="1" applyBorder="1" applyAlignment="1">
      <alignment horizontal="right" readingOrder="2"/>
    </xf>
    <xf numFmtId="10" fontId="0" fillId="0" borderId="0" xfId="0" applyNumberFormat="1" applyFont="1" applyFill="1" applyBorder="1" applyAlignment="1">
      <alignment horizontal="right" readingOrder="2"/>
    </xf>
    <xf numFmtId="0" fontId="6" fillId="0" borderId="0" xfId="0" applyFont="1" applyFill="1" applyBorder="1"/>
    <xf numFmtId="0" fontId="0" fillId="4" borderId="19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2" xfId="0" applyFill="1" applyBorder="1"/>
    <xf numFmtId="0" fontId="3" fillId="0" borderId="19" xfId="0" applyFont="1" applyFill="1" applyBorder="1" applyAlignment="1">
      <alignment horizontal="right" readingOrder="2"/>
    </xf>
    <xf numFmtId="0" fontId="3" fillId="0" borderId="33" xfId="0" applyFont="1" applyFill="1" applyBorder="1" applyAlignment="1">
      <alignment horizontal="right" readingOrder="2"/>
    </xf>
    <xf numFmtId="0" fontId="0" fillId="0" borderId="34" xfId="0" applyBorder="1"/>
    <xf numFmtId="0" fontId="0" fillId="6" borderId="35" xfId="0" applyFill="1" applyBorder="1" applyAlignment="1"/>
    <xf numFmtId="0" fontId="0" fillId="6" borderId="37" xfId="0" applyFill="1" applyBorder="1" applyAlignment="1"/>
    <xf numFmtId="0" fontId="0" fillId="6" borderId="36" xfId="0" applyFill="1" applyBorder="1" applyAlignment="1"/>
    <xf numFmtId="0" fontId="0" fillId="4" borderId="48" xfId="0" applyFill="1" applyBorder="1"/>
    <xf numFmtId="3" fontId="12" fillId="0" borderId="19" xfId="1" applyNumberFormat="1" applyFont="1" applyFill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center" vertical="center"/>
    </xf>
    <xf numFmtId="3" fontId="12" fillId="0" borderId="10" xfId="1" applyNumberFormat="1" applyFont="1" applyFill="1" applyBorder="1" applyAlignment="1">
      <alignment horizontal="center" vertical="center"/>
    </xf>
    <xf numFmtId="3" fontId="12" fillId="0" borderId="42" xfId="1" applyNumberFormat="1" applyFont="1" applyFill="1" applyBorder="1" applyAlignment="1">
      <alignment horizontal="center" vertical="center"/>
    </xf>
    <xf numFmtId="3" fontId="12" fillId="0" borderId="3" xfId="1" applyNumberFormat="1" applyFont="1" applyFill="1" applyBorder="1" applyAlignment="1">
      <alignment horizontal="center" vertical="center"/>
    </xf>
    <xf numFmtId="3" fontId="12" fillId="0" borderId="18" xfId="1" applyNumberFormat="1" applyFont="1" applyFill="1" applyBorder="1" applyAlignment="1">
      <alignment horizontal="center" vertical="center"/>
    </xf>
    <xf numFmtId="3" fontId="12" fillId="0" borderId="26" xfId="1" applyNumberFormat="1" applyFont="1" applyFill="1" applyBorder="1" applyAlignment="1">
      <alignment horizontal="center" vertical="center"/>
    </xf>
    <xf numFmtId="3" fontId="12" fillId="0" borderId="27" xfId="1" applyNumberFormat="1" applyFont="1" applyFill="1" applyBorder="1" applyAlignment="1">
      <alignment horizontal="center" vertical="center"/>
    </xf>
    <xf numFmtId="3" fontId="12" fillId="0" borderId="28" xfId="1" applyNumberFormat="1" applyFont="1" applyFill="1" applyBorder="1" applyAlignment="1">
      <alignment horizontal="center" vertical="center"/>
    </xf>
    <xf numFmtId="3" fontId="12" fillId="0" borderId="53" xfId="1" applyNumberFormat="1" applyFont="1" applyFill="1" applyBorder="1" applyAlignment="1">
      <alignment horizontal="center" vertical="center"/>
    </xf>
    <xf numFmtId="3" fontId="12" fillId="0" borderId="49" xfId="1" applyNumberFormat="1" applyFont="1" applyFill="1" applyBorder="1" applyAlignment="1">
      <alignment horizontal="center" vertical="center"/>
    </xf>
    <xf numFmtId="3" fontId="12" fillId="0" borderId="54" xfId="1" applyNumberFormat="1" applyFont="1" applyFill="1" applyBorder="1" applyAlignment="1">
      <alignment horizontal="center" vertical="center"/>
    </xf>
    <xf numFmtId="3" fontId="12" fillId="0" borderId="23" xfId="1" applyNumberFormat="1" applyFont="1" applyFill="1" applyBorder="1" applyAlignment="1">
      <alignment horizontal="center"/>
    </xf>
    <xf numFmtId="3" fontId="12" fillId="0" borderId="22" xfId="1" applyNumberFormat="1" applyFont="1" applyFill="1" applyBorder="1" applyAlignment="1">
      <alignment horizontal="center"/>
    </xf>
    <xf numFmtId="3" fontId="12" fillId="0" borderId="25" xfId="1" applyNumberFormat="1" applyFont="1" applyFill="1" applyBorder="1" applyAlignment="1">
      <alignment horizontal="center"/>
    </xf>
    <xf numFmtId="3" fontId="12" fillId="0" borderId="38" xfId="1" applyNumberFormat="1" applyFont="1" applyFill="1" applyBorder="1" applyAlignment="1">
      <alignment horizontal="center"/>
    </xf>
    <xf numFmtId="3" fontId="12" fillId="0" borderId="19" xfId="1" applyNumberFormat="1" applyFont="1" applyFill="1" applyBorder="1" applyAlignment="1">
      <alignment horizontal="center"/>
    </xf>
    <xf numFmtId="3" fontId="12" fillId="0" borderId="1" xfId="1" applyNumberFormat="1" applyFont="1" applyFill="1" applyBorder="1" applyAlignment="1">
      <alignment horizontal="center"/>
    </xf>
    <xf numFmtId="3" fontId="12" fillId="0" borderId="10" xfId="1" applyNumberFormat="1" applyFont="1" applyFill="1" applyBorder="1" applyAlignment="1">
      <alignment horizontal="center"/>
    </xf>
    <xf numFmtId="3" fontId="12" fillId="0" borderId="3" xfId="1" applyNumberFormat="1" applyFont="1" applyFill="1" applyBorder="1" applyAlignment="1">
      <alignment horizontal="center"/>
    </xf>
    <xf numFmtId="166" fontId="12" fillId="0" borderId="23" xfId="1" applyNumberFormat="1" applyFont="1" applyFill="1" applyBorder="1" applyAlignment="1">
      <alignment horizontal="center"/>
    </xf>
    <xf numFmtId="166" fontId="12" fillId="0" borderId="22" xfId="1" applyNumberFormat="1" applyFont="1" applyFill="1" applyBorder="1" applyAlignment="1">
      <alignment horizontal="center"/>
    </xf>
    <xf numFmtId="166" fontId="12" fillId="0" borderId="25" xfId="1" applyNumberFormat="1" applyFont="1" applyFill="1" applyBorder="1" applyAlignment="1">
      <alignment horizontal="center"/>
    </xf>
    <xf numFmtId="3" fontId="12" fillId="0" borderId="39" xfId="1" applyNumberFormat="1" applyFont="1" applyFill="1" applyBorder="1" applyAlignment="1">
      <alignment horizontal="center"/>
    </xf>
    <xf numFmtId="3" fontId="12" fillId="0" borderId="2" xfId="1" applyNumberFormat="1" applyFont="1" applyFill="1" applyBorder="1" applyAlignment="1">
      <alignment horizontal="center"/>
    </xf>
    <xf numFmtId="0" fontId="0" fillId="4" borderId="39" xfId="0" applyFill="1" applyBorder="1"/>
    <xf numFmtId="0" fontId="10" fillId="0" borderId="20" xfId="0" applyFont="1" applyFill="1" applyBorder="1" applyAlignment="1">
      <alignment horizontal="center" vertical="center"/>
    </xf>
    <xf numFmtId="0" fontId="4" fillId="0" borderId="0" xfId="2" applyFill="1" applyBorder="1" applyAlignment="1">
      <alignment horizontal="right"/>
    </xf>
    <xf numFmtId="9" fontId="0" fillId="0" borderId="0" xfId="0" applyNumberForma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166" fontId="14" fillId="7" borderId="33" xfId="1" applyNumberFormat="1" applyFont="1" applyFill="1" applyBorder="1" applyAlignment="1">
      <alignment horizontal="center"/>
    </xf>
    <xf numFmtId="3" fontId="14" fillId="7" borderId="33" xfId="1" applyNumberFormat="1" applyFont="1" applyFill="1" applyBorder="1" applyAlignment="1">
      <alignment horizontal="center"/>
    </xf>
    <xf numFmtId="3" fontId="14" fillId="7" borderId="11" xfId="1" applyNumberFormat="1" applyFont="1" applyFill="1" applyBorder="1" applyAlignment="1">
      <alignment horizontal="center"/>
    </xf>
    <xf numFmtId="3" fontId="14" fillId="7" borderId="34" xfId="1" applyNumberFormat="1" applyFont="1" applyFill="1" applyBorder="1" applyAlignment="1">
      <alignment horizontal="center"/>
    </xf>
    <xf numFmtId="3" fontId="14" fillId="7" borderId="47" xfId="1" applyNumberFormat="1" applyFont="1" applyFill="1" applyBorder="1" applyAlignment="1">
      <alignment horizontal="center"/>
    </xf>
    <xf numFmtId="166" fontId="6" fillId="7" borderId="33" xfId="1" applyNumberFormat="1" applyFont="1" applyFill="1" applyBorder="1" applyAlignment="1">
      <alignment horizontal="center"/>
    </xf>
    <xf numFmtId="3" fontId="6" fillId="7" borderId="33" xfId="1" applyNumberFormat="1" applyFont="1" applyFill="1" applyBorder="1" applyAlignment="1">
      <alignment horizontal="center"/>
    </xf>
    <xf numFmtId="3" fontId="6" fillId="7" borderId="11" xfId="1" applyNumberFormat="1" applyFont="1" applyFill="1" applyBorder="1" applyAlignment="1">
      <alignment horizontal="center"/>
    </xf>
    <xf numFmtId="3" fontId="6" fillId="7" borderId="40" xfId="1" applyNumberFormat="1" applyFont="1" applyFill="1" applyBorder="1" applyAlignment="1">
      <alignment horizontal="center"/>
    </xf>
    <xf numFmtId="3" fontId="6" fillId="7" borderId="34" xfId="1" applyNumberFormat="1" applyFont="1" applyFill="1" applyBorder="1" applyAlignment="1">
      <alignment horizontal="center"/>
    </xf>
    <xf numFmtId="9" fontId="12" fillId="0" borderId="1" xfId="0" applyNumberFormat="1" applyFont="1" applyBorder="1" applyAlignment="1">
      <alignment horizontal="center" vertical="center"/>
    </xf>
    <xf numFmtId="9" fontId="12" fillId="0" borderId="10" xfId="0" applyNumberFormat="1" applyFont="1" applyBorder="1" applyAlignment="1">
      <alignment horizontal="center" vertical="center"/>
    </xf>
    <xf numFmtId="9" fontId="12" fillId="0" borderId="11" xfId="0" applyNumberFormat="1" applyFont="1" applyBorder="1" applyAlignment="1">
      <alignment horizontal="center" vertical="center"/>
    </xf>
    <xf numFmtId="9" fontId="12" fillId="0" borderId="34" xfId="0" applyNumberFormat="1" applyFont="1" applyBorder="1" applyAlignment="1">
      <alignment horizontal="center" vertical="center"/>
    </xf>
    <xf numFmtId="0" fontId="0" fillId="4" borderId="22" xfId="0" applyFont="1" applyFill="1" applyBorder="1"/>
    <xf numFmtId="0" fontId="0" fillId="4" borderId="25" xfId="0" applyFont="1" applyFill="1" applyBorder="1"/>
    <xf numFmtId="0" fontId="0" fillId="0" borderId="0" xfId="0" applyFont="1"/>
    <xf numFmtId="1" fontId="0" fillId="0" borderId="1" xfId="0" applyNumberFormat="1" applyFont="1" applyBorder="1"/>
    <xf numFmtId="0" fontId="0" fillId="0" borderId="1" xfId="0" applyFont="1" applyFill="1" applyBorder="1" applyAlignment="1">
      <alignment horizontal="right"/>
    </xf>
    <xf numFmtId="9" fontId="0" fillId="0" borderId="1" xfId="0" applyNumberFormat="1" applyFont="1" applyFill="1" applyBorder="1" applyAlignment="1">
      <alignment horizontal="right"/>
    </xf>
    <xf numFmtId="0" fontId="0" fillId="0" borderId="1" xfId="0" applyFont="1" applyBorder="1"/>
    <xf numFmtId="0" fontId="0" fillId="6" borderId="35" xfId="0" applyFont="1" applyFill="1" applyBorder="1" applyAlignment="1"/>
    <xf numFmtId="0" fontId="0" fillId="6" borderId="37" xfId="0" applyFont="1" applyFill="1" applyBorder="1" applyAlignment="1"/>
    <xf numFmtId="0" fontId="0" fillId="6" borderId="36" xfId="0" applyFont="1" applyFill="1" applyBorder="1" applyAlignment="1"/>
    <xf numFmtId="0" fontId="0" fillId="0" borderId="0" xfId="0" applyFont="1" applyFill="1"/>
    <xf numFmtId="0" fontId="0" fillId="4" borderId="19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10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19" xfId="0" applyFont="1" applyFill="1" applyBorder="1"/>
    <xf numFmtId="0" fontId="0" fillId="4" borderId="1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horizontal="right"/>
    </xf>
    <xf numFmtId="0" fontId="4" fillId="0" borderId="33" xfId="2" applyFont="1" applyFill="1" applyBorder="1" applyAlignment="1">
      <alignment horizontal="right"/>
    </xf>
    <xf numFmtId="0" fontId="0" fillId="4" borderId="4" xfId="0" applyFont="1" applyFill="1" applyBorder="1" applyAlignment="1"/>
    <xf numFmtId="0" fontId="0" fillId="4" borderId="3" xfId="0" applyFont="1" applyFill="1" applyBorder="1" applyAlignment="1"/>
    <xf numFmtId="0" fontId="0" fillId="4" borderId="9" xfId="0" applyFont="1" applyFill="1" applyBorder="1" applyAlignment="1"/>
    <xf numFmtId="164" fontId="0" fillId="0" borderId="10" xfId="1" applyNumberFormat="1" applyFont="1" applyBorder="1"/>
    <xf numFmtId="1" fontId="0" fillId="0" borderId="11" xfId="0" applyNumberFormat="1" applyFont="1" applyBorder="1"/>
    <xf numFmtId="164" fontId="0" fillId="0" borderId="34" xfId="1" applyNumberFormat="1" applyFont="1" applyBorder="1"/>
    <xf numFmtId="0" fontId="0" fillId="8" borderId="1" xfId="0" applyFill="1" applyBorder="1"/>
    <xf numFmtId="165" fontId="0" fillId="8" borderId="1" xfId="3" applyNumberFormat="1" applyFont="1" applyFill="1" applyBorder="1"/>
    <xf numFmtId="10" fontId="0" fillId="8" borderId="1" xfId="0" applyNumberFormat="1" applyFont="1" applyFill="1" applyBorder="1" applyAlignment="1">
      <alignment horizontal="right" readingOrder="2"/>
    </xf>
    <xf numFmtId="0" fontId="3" fillId="0" borderId="0" xfId="0" applyFont="1" applyFill="1" applyBorder="1" applyAlignment="1">
      <alignment readingOrder="2"/>
    </xf>
    <xf numFmtId="0" fontId="15" fillId="0" borderId="0" xfId="0" applyFont="1" applyFill="1" applyBorder="1"/>
    <xf numFmtId="166" fontId="12" fillId="3" borderId="23" xfId="1" applyNumberFormat="1" applyFont="1" applyFill="1" applyBorder="1" applyAlignment="1">
      <alignment horizontal="center"/>
    </xf>
    <xf numFmtId="3" fontId="12" fillId="3" borderId="23" xfId="1" applyNumberFormat="1" applyFont="1" applyFill="1" applyBorder="1" applyAlignment="1">
      <alignment horizontal="center"/>
    </xf>
    <xf numFmtId="166" fontId="2" fillId="7" borderId="33" xfId="1" applyNumberFormat="1" applyFont="1" applyFill="1" applyBorder="1" applyAlignment="1">
      <alignment horizontal="center"/>
    </xf>
    <xf numFmtId="3" fontId="2" fillId="7" borderId="33" xfId="1" applyNumberFormat="1" applyFont="1" applyFill="1" applyBorder="1" applyAlignment="1">
      <alignment horizontal="center"/>
    </xf>
    <xf numFmtId="3" fontId="2" fillId="7" borderId="11" xfId="1" applyNumberFormat="1" applyFont="1" applyFill="1" applyBorder="1" applyAlignment="1">
      <alignment horizontal="center"/>
    </xf>
    <xf numFmtId="3" fontId="2" fillId="7" borderId="40" xfId="1" applyNumberFormat="1" applyFont="1" applyFill="1" applyBorder="1" applyAlignment="1">
      <alignment horizontal="center"/>
    </xf>
    <xf numFmtId="3" fontId="2" fillId="7" borderId="34" xfId="1" applyNumberFormat="1" applyFont="1" applyFill="1" applyBorder="1" applyAlignment="1">
      <alignment horizontal="center"/>
    </xf>
    <xf numFmtId="0" fontId="7" fillId="0" borderId="2" xfId="2" applyFont="1" applyBorder="1"/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8" borderId="22" xfId="0" applyFill="1" applyBorder="1"/>
    <xf numFmtId="0" fontId="2" fillId="2" borderId="24" xfId="0" applyFont="1" applyFill="1" applyBorder="1" applyAlignment="1">
      <alignment horizontal="center"/>
    </xf>
    <xf numFmtId="3" fontId="12" fillId="0" borderId="44" xfId="1" applyNumberFormat="1" applyFont="1" applyFill="1" applyBorder="1" applyAlignment="1">
      <alignment horizontal="center"/>
    </xf>
    <xf numFmtId="0" fontId="13" fillId="8" borderId="36" xfId="0" applyFont="1" applyFill="1" applyBorder="1" applyAlignment="1"/>
    <xf numFmtId="0" fontId="0" fillId="4" borderId="57" xfId="0" applyFill="1" applyBorder="1"/>
    <xf numFmtId="0" fontId="0" fillId="4" borderId="0" xfId="0" applyFill="1" applyBorder="1"/>
    <xf numFmtId="166" fontId="12" fillId="0" borderId="1" xfId="1" applyNumberFormat="1" applyFont="1" applyFill="1" applyBorder="1" applyAlignment="1">
      <alignment horizontal="center"/>
    </xf>
    <xf numFmtId="3" fontId="6" fillId="7" borderId="21" xfId="1" applyNumberFormat="1" applyFont="1" applyFill="1" applyBorder="1" applyAlignment="1">
      <alignment horizontal="center"/>
    </xf>
    <xf numFmtId="3" fontId="6" fillId="7" borderId="55" xfId="1" applyNumberFormat="1" applyFont="1" applyFill="1" applyBorder="1" applyAlignment="1">
      <alignment horizontal="center"/>
    </xf>
    <xf numFmtId="3" fontId="6" fillId="7" borderId="56" xfId="1" applyNumberFormat="1" applyFont="1" applyFill="1" applyBorder="1" applyAlignment="1">
      <alignment horizontal="center"/>
    </xf>
    <xf numFmtId="3" fontId="12" fillId="0" borderId="33" xfId="1" applyNumberFormat="1" applyFont="1" applyFill="1" applyBorder="1" applyAlignment="1">
      <alignment horizontal="center"/>
    </xf>
    <xf numFmtId="3" fontId="12" fillId="0" borderId="11" xfId="1" applyNumberFormat="1" applyFont="1" applyFill="1" applyBorder="1" applyAlignment="1">
      <alignment horizontal="center"/>
    </xf>
    <xf numFmtId="3" fontId="12" fillId="0" borderId="34" xfId="1" applyNumberFormat="1" applyFont="1" applyFill="1" applyBorder="1" applyAlignment="1">
      <alignment horizontal="center"/>
    </xf>
    <xf numFmtId="3" fontId="6" fillId="7" borderId="58" xfId="1" applyNumberFormat="1" applyFont="1" applyFill="1" applyBorder="1" applyAlignment="1">
      <alignment horizontal="center"/>
    </xf>
    <xf numFmtId="166" fontId="6" fillId="7" borderId="21" xfId="1" applyNumberFormat="1" applyFont="1" applyFill="1" applyBorder="1" applyAlignment="1">
      <alignment horizontal="center"/>
    </xf>
    <xf numFmtId="166" fontId="12" fillId="0" borderId="19" xfId="1" applyNumberFormat="1" applyFont="1" applyFill="1" applyBorder="1" applyAlignment="1">
      <alignment horizontal="center"/>
    </xf>
    <xf numFmtId="166" fontId="12" fillId="0" borderId="10" xfId="1" applyNumberFormat="1" applyFont="1" applyFill="1" applyBorder="1" applyAlignment="1">
      <alignment horizontal="center"/>
    </xf>
    <xf numFmtId="166" fontId="12" fillId="0" borderId="33" xfId="1" applyNumberFormat="1" applyFont="1" applyFill="1" applyBorder="1" applyAlignment="1">
      <alignment horizontal="center"/>
    </xf>
    <xf numFmtId="166" fontId="12" fillId="0" borderId="11" xfId="1" applyNumberFormat="1" applyFont="1" applyFill="1" applyBorder="1" applyAlignment="1">
      <alignment horizontal="center"/>
    </xf>
    <xf numFmtId="166" fontId="12" fillId="0" borderId="34" xfId="1" applyNumberFormat="1" applyFont="1" applyFill="1" applyBorder="1" applyAlignment="1">
      <alignment horizontal="center"/>
    </xf>
    <xf numFmtId="0" fontId="0" fillId="0" borderId="31" xfId="0" applyBorder="1"/>
    <xf numFmtId="0" fontId="0" fillId="0" borderId="52" xfId="0" applyBorder="1"/>
    <xf numFmtId="164" fontId="0" fillId="0" borderId="19" xfId="0" applyNumberFormat="1" applyBorder="1"/>
    <xf numFmtId="3" fontId="0" fillId="0" borderId="10" xfId="1" applyNumberFormat="1" applyFont="1" applyBorder="1"/>
    <xf numFmtId="0" fontId="0" fillId="0" borderId="33" xfId="0" applyFill="1" applyBorder="1"/>
    <xf numFmtId="3" fontId="0" fillId="0" borderId="34" xfId="0" applyNumberFormat="1" applyBorder="1"/>
    <xf numFmtId="0" fontId="0" fillId="0" borderId="21" xfId="0" applyFont="1" applyFill="1" applyBorder="1" applyAlignment="1">
      <alignment horizontal="right" vertical="center"/>
    </xf>
    <xf numFmtId="0" fontId="0" fillId="0" borderId="55" xfId="0" applyFont="1" applyFill="1" applyBorder="1" applyAlignment="1">
      <alignment horizontal="right" vertical="center"/>
    </xf>
    <xf numFmtId="0" fontId="0" fillId="0" borderId="56" xfId="0" applyFont="1" applyFill="1" applyBorder="1" applyAlignment="1">
      <alignment horizontal="right" vertical="center"/>
    </xf>
    <xf numFmtId="0" fontId="0" fillId="4" borderId="23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164" fontId="6" fillId="7" borderId="12" xfId="1" applyNumberFormat="1" applyFont="1" applyFill="1" applyBorder="1" applyAlignment="1">
      <alignment horizontal="right"/>
    </xf>
    <xf numFmtId="164" fontId="6" fillId="7" borderId="17" xfId="1" applyNumberFormat="1" applyFont="1" applyFill="1" applyBorder="1" applyAlignment="1">
      <alignment horizontal="right"/>
    </xf>
    <xf numFmtId="0" fontId="2" fillId="4" borderId="23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164" fontId="2" fillId="7" borderId="12" xfId="1" applyNumberFormat="1" applyFont="1" applyFill="1" applyBorder="1" applyAlignment="1">
      <alignment horizontal="right"/>
    </xf>
    <xf numFmtId="164" fontId="2" fillId="7" borderId="17" xfId="1" applyNumberFormat="1" applyFont="1" applyFill="1" applyBorder="1" applyAlignment="1">
      <alignment horizontal="right"/>
    </xf>
    <xf numFmtId="0" fontId="0" fillId="4" borderId="50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4" borderId="2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52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9" xfId="0" applyFont="1" applyFill="1" applyBorder="1" applyAlignment="1">
      <alignment horizontal="right"/>
    </xf>
    <xf numFmtId="0" fontId="0" fillId="4" borderId="4" xfId="0" applyFont="1" applyFill="1" applyBorder="1" applyAlignment="1">
      <alignment horizontal="right"/>
    </xf>
    <xf numFmtId="0" fontId="0" fillId="2" borderId="0" xfId="0" applyFont="1" applyFill="1" applyAlignment="1">
      <alignment horizontal="right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right"/>
    </xf>
    <xf numFmtId="0" fontId="0" fillId="3" borderId="3" xfId="0" applyFont="1" applyFill="1" applyBorder="1" applyAlignment="1">
      <alignment horizontal="right"/>
    </xf>
    <xf numFmtId="0" fontId="0" fillId="4" borderId="50" xfId="0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4" borderId="23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/>
    </xf>
    <xf numFmtId="0" fontId="0" fillId="4" borderId="7" xfId="0" applyFill="1" applyBorder="1" applyAlignment="1">
      <alignment horizontal="center"/>
    </xf>
    <xf numFmtId="164" fontId="14" fillId="7" borderId="12" xfId="1" applyNumberFormat="1" applyFont="1" applyFill="1" applyBorder="1" applyAlignment="1">
      <alignment horizontal="right"/>
    </xf>
    <xf numFmtId="164" fontId="14" fillId="7" borderId="17" xfId="1" applyNumberFormat="1" applyFont="1" applyFill="1" applyBorder="1" applyAlignment="1">
      <alignment horizontal="right"/>
    </xf>
    <xf numFmtId="0" fontId="13" fillId="6" borderId="35" xfId="0" applyFont="1" applyFill="1" applyBorder="1" applyAlignment="1">
      <alignment horizontal="center"/>
    </xf>
    <xf numFmtId="0" fontId="13" fillId="6" borderId="37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24" xfId="0" applyFont="1" applyFill="1" applyBorder="1" applyAlignment="1">
      <alignment horizontal="center"/>
    </xf>
    <xf numFmtId="0" fontId="0" fillId="4" borderId="31" xfId="0" applyFont="1" applyFill="1" applyBorder="1" applyAlignment="1">
      <alignment horizontal="center"/>
    </xf>
    <xf numFmtId="0" fontId="0" fillId="4" borderId="32" xfId="0" applyFont="1" applyFill="1" applyBorder="1" applyAlignment="1">
      <alignment horizontal="center"/>
    </xf>
    <xf numFmtId="0" fontId="0" fillId="4" borderId="52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6" borderId="14" xfId="0" applyFill="1" applyBorder="1" applyAlignment="1">
      <alignment horizontal="right"/>
    </xf>
    <xf numFmtId="0" fontId="0" fillId="6" borderId="15" xfId="0" applyFill="1" applyBorder="1" applyAlignment="1">
      <alignment horizontal="right"/>
    </xf>
    <xf numFmtId="0" fontId="0" fillId="6" borderId="16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0" fontId="0" fillId="3" borderId="18" xfId="0" applyFill="1" applyBorder="1" applyAlignment="1">
      <alignment horizontal="right"/>
    </xf>
    <xf numFmtId="164" fontId="0" fillId="0" borderId="43" xfId="1" applyNumberFormat="1" applyFont="1" applyBorder="1" applyAlignment="1">
      <alignment horizontal="center" vertical="center"/>
    </xf>
    <xf numFmtId="164" fontId="0" fillId="0" borderId="44" xfId="1" applyNumberFormat="1" applyFont="1" applyBorder="1" applyAlignment="1">
      <alignment horizontal="center" vertical="center"/>
    </xf>
    <xf numFmtId="164" fontId="0" fillId="0" borderId="45" xfId="1" applyNumberFormat="1" applyFont="1" applyBorder="1" applyAlignment="1">
      <alignment horizontal="center" vertical="center"/>
    </xf>
    <xf numFmtId="164" fontId="0" fillId="0" borderId="46" xfId="1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8" fillId="2" borderId="0" xfId="0" applyFont="1" applyFill="1" applyAlignment="1">
      <alignment horizontal="right" vertical="center" wrapText="1"/>
    </xf>
    <xf numFmtId="0" fontId="0" fillId="3" borderId="1" xfId="0" applyFont="1" applyFill="1" applyBorder="1" applyAlignment="1">
      <alignment horizontal="right" readingOrder="2"/>
    </xf>
    <xf numFmtId="0" fontId="4" fillId="3" borderId="1" xfId="2" applyFont="1" applyFill="1" applyBorder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8B8B"/>
      <color rgb="FF000000"/>
      <color rgb="FFFDF0E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tl.gov.il/Publications/quarterly/maternity/Pages/&#1502;&#1511;&#1489;&#1500;&#1497;%20&#1490;&#1502;&#1500;&#1488;&#1493;&#1514;%20&#1488;&#1497;&#1502;&#1492;&#1493;&#1514;%20&#1500;&#1508;&#1497;%20&#1505;&#1493;&#1490;%20&#1490;&#1502;&#1500;&#1492;.aspx" TargetMode="External"/><Relationship Id="rId2" Type="http://schemas.openxmlformats.org/officeDocument/2006/relationships/hyperlink" Target="http://taubcenter.org.il/wp-content/files_mf/womenandparents_heb.pdf" TargetMode="External"/><Relationship Id="rId1" Type="http://schemas.openxmlformats.org/officeDocument/2006/relationships/hyperlink" Target="http://taubcenter.org.il/wp-content/files_mf/womenandparents_heb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s.gov.il/he/publications/DocLib/2018/2.%20ShnatonPopulation/st02_03.pdf" TargetMode="External"/><Relationship Id="rId13" Type="http://schemas.openxmlformats.org/officeDocument/2006/relationships/vmlDrawing" Target="../drawings/vmlDrawing2.vml"/><Relationship Id="rId3" Type="http://schemas.openxmlformats.org/officeDocument/2006/relationships/hyperlink" Target="https://www.btl.gov.il/Publications/quarterly/maternity/Pages/%D7%9E%D7%A7%D7%91%D7%9C%D7%99%20%D7%92%D7%9E%D7%9C%D7%90%D7%95%D7%AA%20%D7%90%D7%99%D7%9E%D7%94%D7%95%D7%AA%20%D7%9C%D7%A4%D7%99%20%D7%A1%D7%95%D7%92%20%D7%92%D7%9E%D7%9C%D7%94.aspx" TargetMode="External"/><Relationship Id="rId7" Type="http://schemas.openxmlformats.org/officeDocument/2006/relationships/hyperlink" Target="https://www.btl.gov.il/Publications/quarterly/children/Pages/default.aspx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www.btl.gov.il/Publications/quarterly/children/Pages/%D7%9E%D7%A9%D7%A4%D7%97%D7%95%D7%AA%20%D7%94%D7%9E%D7%A7%D7%91%D7%9C%D7%95%D7%AA%20%D7%A7%D7%A6%D7%91%D7%AA%20%D7%99%D7%9C%D7%93%D7%99%D7%9D%20%D7%9C%D7%A4%D7%99%20%D7%9E%D7%A1%D7%A4%D7%A8%20%D7%94%D7%99%D7%9C%D7%93%D7%99%D7%9D%20%D7%91%D7%9E%D7%A9%D7%A4%D7%97%D7%94.aspx" TargetMode="External"/><Relationship Id="rId1" Type="http://schemas.openxmlformats.org/officeDocument/2006/relationships/hyperlink" Target="https://www.btl.gov.il/Publications/quarterly/maternity/Pages/%D7%9E%D7%A7%D7%91%D7%9C%D7%99%20%D7%92%D7%9E%D7%9C%D7%90%D7%95%D7%AA%20%D7%90%D7%99%D7%9E%D7%94%D7%95%D7%AA%20%D7%9C%D7%A4%D7%99%20%D7%A1%D7%95%D7%92%20%D7%92%D7%9E%D7%9C%D7%94.aspx" TargetMode="External"/><Relationship Id="rId6" Type="http://schemas.openxmlformats.org/officeDocument/2006/relationships/hyperlink" Target="https://www.btl.gov.il/Publications/quarterly/maternity/Pages/default.aspx" TargetMode="External"/><Relationship Id="rId11" Type="http://schemas.openxmlformats.org/officeDocument/2006/relationships/hyperlink" Target="https://www.btl.gov.il/benefits/Pages/maanakleda.aspx" TargetMode="External"/><Relationship Id="rId5" Type="http://schemas.openxmlformats.org/officeDocument/2006/relationships/hyperlink" Target="https://www.btl.gov.il/Publications/quarterly/maternity/Pages/default.aspx" TargetMode="External"/><Relationship Id="rId10" Type="http://schemas.openxmlformats.org/officeDocument/2006/relationships/hyperlink" Target="https://www.btl.gov.il/benefits/Pages/maanakleda.aspx" TargetMode="External"/><Relationship Id="rId4" Type="http://schemas.openxmlformats.org/officeDocument/2006/relationships/hyperlink" Target="https://www.btl.gov.il/Publications/quarterly/children/Pages/%D7%9E%D7%A9%D7%A4%D7%97%D7%95%D7%AA%20%D7%94%D7%9E%D7%A7%D7%91%D7%9C%D7%95%D7%AA%20%D7%A7%D7%A6%D7%91%D7%AA%20%D7%99%D7%9C%D7%93%D7%99%D7%9D%20%D7%9C%D7%A4%D7%99%20%D7%9E%D7%A1%D7%A4%D7%A8%20%D7%94%D7%99%D7%9C%D7%93%D7%99%D7%9D%20%D7%91%D7%9E%D7%A9%D7%A4%D7%97%D7%94.aspx" TargetMode="External"/><Relationship Id="rId9" Type="http://schemas.openxmlformats.org/officeDocument/2006/relationships/hyperlink" Target="https://www.btl.gov.il/benefits/Pages/maanakleda.aspx" TargetMode="External"/><Relationship Id="rId1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tl.gov.il/Publications/quarterly/maternity/Pages/&#1502;&#1511;&#1489;&#1500;&#1497;%20&#1490;&#1502;&#1500;&#1488;&#1493;&#1514;%20&#1488;&#1497;&#1502;&#1492;&#1493;&#1514;%20&#1500;&#1508;&#1497;%20&#1505;&#1493;&#1490;%20&#1490;&#1502;&#1500;&#1492;.aspx" TargetMode="External"/><Relationship Id="rId3" Type="http://schemas.openxmlformats.org/officeDocument/2006/relationships/hyperlink" Target="https://www.btl.gov.il/Publications/quarterly/maternity/Pages/%D7%9E%D7%A7%D7%91%D7%9C%D7%99%20%D7%92%D7%9E%D7%9C%D7%90%D7%95%D7%AA%20%D7%90%D7%99%D7%9E%D7%94%D7%95%D7%AA%20%D7%9C%D7%A4%D7%99%20%D7%A1%D7%95%D7%92%20%D7%92%D7%9E%D7%9C%D7%94.aspx" TargetMode="External"/><Relationship Id="rId7" Type="http://schemas.openxmlformats.org/officeDocument/2006/relationships/hyperlink" Target="https://www.cbs.gov.il/he/mediarelease/DocLib/2018/294/20_18_294b.pdf" TargetMode="External"/><Relationship Id="rId12" Type="http://schemas.openxmlformats.org/officeDocument/2006/relationships/comments" Target="../comments3.xml"/><Relationship Id="rId2" Type="http://schemas.openxmlformats.org/officeDocument/2006/relationships/hyperlink" Target="https://www.btl.gov.il/Publications/quarterly/children/Pages/%D7%9E%D7%A9%D7%A4%D7%97%D7%95%D7%AA%20%D7%94%D7%9E%D7%A7%D7%91%D7%9C%D7%95%D7%AA%20%D7%A7%D7%A6%D7%91%D7%AA%20%D7%99%D7%9C%D7%93%D7%99%D7%9D%20%D7%9C%D7%A4%D7%99%20%D7%9E%D7%A1%D7%A4%D7%A8%20%D7%94%D7%99%D7%9C%D7%93%D7%99%D7%9D%20%D7%91%D7%9E%D7%A9%D7%A4%D7%97%D7%94.aspx" TargetMode="External"/><Relationship Id="rId1" Type="http://schemas.openxmlformats.org/officeDocument/2006/relationships/hyperlink" Target="https://www.btl.gov.il/Publications/quarterly/maternity/Pages/%D7%9E%D7%A7%D7%91%D7%9C%D7%99%20%D7%92%D7%9E%D7%9C%D7%90%D7%95%D7%AA%20%D7%90%D7%99%D7%9E%D7%94%D7%95%D7%AA%20%D7%9C%D7%A4%D7%99%20%D7%A1%D7%95%D7%92%20%D7%92%D7%9E%D7%9C%D7%94.aspx" TargetMode="External"/><Relationship Id="rId6" Type="http://schemas.openxmlformats.org/officeDocument/2006/relationships/hyperlink" Target="http://taubcenter.org.il/wp-content/files_mf/labormarket2018overviewheb.pdf" TargetMode="External"/><Relationship Id="rId11" Type="http://schemas.openxmlformats.org/officeDocument/2006/relationships/vmlDrawing" Target="../drawings/vmlDrawing3.vml"/><Relationship Id="rId5" Type="http://schemas.openxmlformats.org/officeDocument/2006/relationships/hyperlink" Target="https://www.cbs.gov.il/he/mediarelease/DocLib/2018/374/15_18_374b.pdf" TargetMode="External"/><Relationship Id="rId10" Type="http://schemas.openxmlformats.org/officeDocument/2006/relationships/hyperlink" Target="https://www.btl.gov.il/Publications/quarterly/%D7%9B%D7%9C%D7%9C%D7%99/Pages/%D7%94%D7%A1%D7%9B%D7%95%D7%9D%20%D7%94%D7%91%D7%A1%D7%99%D7%A1%D7%99%20%D7%A9%D7%9B%D7%A8%20%D7%9E%D7%9E%D7%95%D7%A6%D7%A2%20%D7%9C%D7%A4%D7%99%20%D7%97%D7%95%D7%A7%20%D7%94%D7%91%D7%99%D7%98%D7%95%D7%97%20%D7%94%D7%9C%D7%90%D7%95%D7%9E%D7%99%20%D7%9E%D7%A9%D7%A8%D7%95%D7%AA%20%D7%A9%D7%9B%D7%99%D7%A8%20%D7%A9%D7%9B%D7%A8%20%D7%97%D7%95%D7%93%D7%A9%D7%99%20%D7%95%D7%A9%D7%9B%D7%A8%20%D7%97%D7%95%D7%93%D7%A9%D7%99%20%D7%9E%D7%9E%D7%95%D7%A6%D7%A2%20%D7%9C%D7%9E%D7%A9%D7%A8%D7%AA%20%D7%A9%D7%9B%D7%99%D7%A8%20%D7%9E%D7%AA%D7%95%D7%9A%20%D7%A0.aspx" TargetMode="External"/><Relationship Id="rId4" Type="http://schemas.openxmlformats.org/officeDocument/2006/relationships/hyperlink" Target="https://www.cbs.gov.il/he/mediarelease/DocLib/2018/374/15_18_374b.pdf" TargetMode="External"/><Relationship Id="rId9" Type="http://schemas.openxmlformats.org/officeDocument/2006/relationships/hyperlink" Target="https://www.inflation.eu/inflation-rates/israel/historic-inflation/cpi-inflation-israel.asp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tl.gov.il/Publications/quarterly/maternity/Pages/&#1502;&#1511;&#1489;&#1500;&#1497;%20&#1490;&#1502;&#1500;&#1488;&#1493;&#1514;%20&#1488;&#1497;&#1502;&#1492;&#1493;&#1514;%20&#1500;&#1508;&#1497;%20&#1505;&#1493;&#1490;%20&#1490;&#1502;&#1500;&#1492;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1695-45E3-40E6-A8DC-14D9CF4D84F7}">
  <dimension ref="A1:Q114"/>
  <sheetViews>
    <sheetView rightToLeft="1" zoomScaleNormal="100" workbookViewId="0">
      <selection activeCell="E28" sqref="E28"/>
    </sheetView>
  </sheetViews>
  <sheetFormatPr defaultRowHeight="14.4" x14ac:dyDescent="0.55000000000000004"/>
  <cols>
    <col min="1" max="1" width="36.734375" customWidth="1"/>
    <col min="2" max="2" width="8.47265625" customWidth="1"/>
    <col min="3" max="3" width="7.3125" bestFit="1" customWidth="1"/>
    <col min="4" max="4" width="6.68359375" bestFit="1" customWidth="1"/>
    <col min="5" max="5" width="7.3125" bestFit="1" customWidth="1"/>
    <col min="6" max="6" width="6.68359375" bestFit="1" customWidth="1"/>
    <col min="7" max="7" width="7.89453125" customWidth="1"/>
    <col min="8" max="8" width="6.68359375" customWidth="1"/>
    <col min="9" max="9" width="9.3671875" bestFit="1" customWidth="1"/>
    <col min="10" max="10" width="6.9453125" customWidth="1"/>
    <col min="11" max="11" width="9.3671875" bestFit="1" customWidth="1"/>
    <col min="12" max="12" width="7" customWidth="1"/>
    <col min="13" max="13" width="7.20703125" customWidth="1"/>
    <col min="14" max="14" width="7.89453125" customWidth="1"/>
    <col min="15" max="15" width="8" customWidth="1"/>
    <col min="16" max="16" width="7.3671875" customWidth="1"/>
    <col min="17" max="17" width="6.7890625" customWidth="1"/>
  </cols>
  <sheetData>
    <row r="1" spans="1:11" ht="18.3" x14ac:dyDescent="0.7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3" customHeight="1" x14ac:dyDescent="0.55000000000000004">
      <c r="A2" s="232" t="s">
        <v>39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1" ht="18.3" customHeight="1" x14ac:dyDescent="0.55000000000000004">
      <c r="A3" s="232"/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spans="1:11" s="3" customFormat="1" x14ac:dyDescent="0.55000000000000004"/>
    <row r="5" spans="1:11" s="140" customFormat="1" ht="18.3" customHeight="1" x14ac:dyDescent="0.55000000000000004">
      <c r="A5" s="236" t="s">
        <v>3</v>
      </c>
      <c r="B5" s="237"/>
    </row>
    <row r="6" spans="1:11" s="140" customFormat="1" ht="18.3" customHeight="1" x14ac:dyDescent="0.55000000000000004">
      <c r="A6" s="142" t="s">
        <v>73</v>
      </c>
      <c r="B6" s="143">
        <v>0.61</v>
      </c>
    </row>
    <row r="7" spans="1:11" s="140" customFormat="1" ht="18.3" customHeight="1" x14ac:dyDescent="0.55000000000000004">
      <c r="A7" s="142" t="s">
        <v>74</v>
      </c>
      <c r="B7" s="143">
        <v>0.39</v>
      </c>
    </row>
    <row r="8" spans="1:11" s="140" customFormat="1" ht="14.4" customHeight="1" x14ac:dyDescent="0.55000000000000004">
      <c r="A8" s="176" t="s">
        <v>23</v>
      </c>
      <c r="B8" s="165">
        <v>0</v>
      </c>
    </row>
    <row r="9" spans="1:11" s="140" customFormat="1" x14ac:dyDescent="0.55000000000000004">
      <c r="A9" s="236" t="s">
        <v>4</v>
      </c>
      <c r="B9" s="237"/>
    </row>
    <row r="10" spans="1:11" s="140" customFormat="1" x14ac:dyDescent="0.55000000000000004">
      <c r="A10" s="16" t="s">
        <v>50</v>
      </c>
      <c r="B10" s="72">
        <v>81252</v>
      </c>
    </row>
    <row r="11" spans="1:11" s="140" customFormat="1" x14ac:dyDescent="0.55000000000000004">
      <c r="A11" s="16" t="s">
        <v>63</v>
      </c>
      <c r="B11" s="76">
        <v>90280</v>
      </c>
    </row>
    <row r="12" spans="1:11" s="140" customFormat="1" x14ac:dyDescent="0.55000000000000004">
      <c r="A12" s="16" t="s">
        <v>51</v>
      </c>
      <c r="B12" s="8">
        <v>51948</v>
      </c>
    </row>
    <row r="13" spans="1:11" s="140" customFormat="1" x14ac:dyDescent="0.55000000000000004">
      <c r="A13" s="16" t="s">
        <v>64</v>
      </c>
      <c r="B13" s="76">
        <v>57720</v>
      </c>
    </row>
    <row r="14" spans="1:11" s="140" customFormat="1" x14ac:dyDescent="0.55000000000000004">
      <c r="A14" s="236" t="s">
        <v>57</v>
      </c>
      <c r="B14" s="237"/>
    </row>
    <row r="15" spans="1:11" s="140" customFormat="1" x14ac:dyDescent="0.55000000000000004">
      <c r="A15" s="144" t="s">
        <v>47</v>
      </c>
      <c r="B15" s="8">
        <v>2115</v>
      </c>
    </row>
    <row r="16" spans="1:11" s="140" customFormat="1" x14ac:dyDescent="0.55000000000000004">
      <c r="A16" s="144" t="s">
        <v>48</v>
      </c>
      <c r="B16" s="8">
        <v>3080</v>
      </c>
    </row>
    <row r="17" spans="1:12" s="140" customFormat="1" x14ac:dyDescent="0.55000000000000004">
      <c r="A17" s="77" t="s">
        <v>26</v>
      </c>
      <c r="B17" s="166">
        <v>0</v>
      </c>
      <c r="C17" s="78"/>
      <c r="D17" s="78"/>
      <c r="F17" s="78"/>
      <c r="G17" s="78"/>
      <c r="H17" s="78"/>
    </row>
    <row r="18" spans="1:12" ht="14.7" thickBot="1" x14ac:dyDescent="0.6">
      <c r="A18" s="78"/>
      <c r="B18" s="79"/>
      <c r="C18" s="5"/>
      <c r="D18" s="5"/>
      <c r="F18" s="5"/>
      <c r="G18" s="5"/>
      <c r="H18" s="5"/>
    </row>
    <row r="19" spans="1:12" ht="18.3" x14ac:dyDescent="0.7">
      <c r="A19" s="177"/>
      <c r="B19" s="180" t="s">
        <v>58</v>
      </c>
      <c r="C19" s="180"/>
      <c r="D19" s="180"/>
      <c r="E19" s="180"/>
      <c r="F19" s="180"/>
      <c r="G19" s="180"/>
      <c r="H19" s="178"/>
      <c r="I19" s="5"/>
      <c r="J19" s="5"/>
      <c r="K19" s="5"/>
    </row>
    <row r="20" spans="1:12" s="140" customFormat="1" x14ac:dyDescent="0.55000000000000004">
      <c r="A20" s="160" t="s">
        <v>1</v>
      </c>
      <c r="B20" s="158"/>
      <c r="C20" s="159"/>
      <c r="D20" s="138">
        <v>1</v>
      </c>
      <c r="E20" s="138">
        <v>2</v>
      </c>
      <c r="F20" s="138">
        <v>3</v>
      </c>
      <c r="G20" s="138">
        <v>4</v>
      </c>
      <c r="H20" s="139">
        <v>5</v>
      </c>
      <c r="I20" s="78"/>
      <c r="J20" s="78"/>
      <c r="K20" s="78"/>
    </row>
    <row r="21" spans="1:12" s="140" customFormat="1" x14ac:dyDescent="0.55000000000000004">
      <c r="A21" s="216" t="s">
        <v>65</v>
      </c>
      <c r="B21" s="218" t="s">
        <v>61</v>
      </c>
      <c r="C21" s="218"/>
      <c r="D21" s="141">
        <f>$B$15*$B$10/1000000</f>
        <v>171.84798000000001</v>
      </c>
      <c r="E21" s="8">
        <f>($B$15*(1+$B$17)*$B10*(1+$B$8))/1000000</f>
        <v>171.84798000000001</v>
      </c>
      <c r="F21" s="8">
        <f>($B$15*(1+$B$17)^2*$B10*(1+$B$8)^2)/1000000</f>
        <v>171.84798000000001</v>
      </c>
      <c r="G21" s="8">
        <f>($B$15*(1+$B$17)^3*$B10*(1+$B$8)^3)/1000000</f>
        <v>171.84798000000001</v>
      </c>
      <c r="H21" s="161">
        <f>($B$15*(1+$B$17)^4*$B10*(1+$B$8)^4)/1000000</f>
        <v>171.84798000000001</v>
      </c>
      <c r="I21" s="78"/>
      <c r="J21" s="78"/>
      <c r="K21" s="78"/>
    </row>
    <row r="22" spans="1:12" s="140" customFormat="1" x14ac:dyDescent="0.55000000000000004">
      <c r="A22" s="243"/>
      <c r="B22" s="218" t="s">
        <v>62</v>
      </c>
      <c r="C22" s="218"/>
      <c r="D22" s="141">
        <f>$B$16*$B$11/1000000</f>
        <v>278.06240000000003</v>
      </c>
      <c r="E22" s="8">
        <f>($B$16*(1+$B$17)*$B11*(1+$B$8))/1000000</f>
        <v>278.06240000000003</v>
      </c>
      <c r="F22" s="8">
        <f>($B$16*(1+$B$17)^2*$B11*(1+$B$8)^2)/1000000</f>
        <v>278.06240000000003</v>
      </c>
      <c r="G22" s="8">
        <f>($B$16*(1+$B$17)^3*$B11*(1+$B$8)^3)/1000000</f>
        <v>278.06240000000003</v>
      </c>
      <c r="H22" s="161">
        <f>($B$16*(1+$B$17)^4*$B11*(1+$B$8)^4)/1000000</f>
        <v>278.06240000000003</v>
      </c>
      <c r="I22" s="78"/>
      <c r="J22" s="78"/>
      <c r="K22" s="78"/>
    </row>
    <row r="23" spans="1:12" s="140" customFormat="1" x14ac:dyDescent="0.55000000000000004">
      <c r="A23" s="216" t="s">
        <v>41</v>
      </c>
      <c r="B23" s="218" t="s">
        <v>61</v>
      </c>
      <c r="C23" s="218"/>
      <c r="D23" s="141">
        <f>$B$15*$B$12/1000000</f>
        <v>109.87002</v>
      </c>
      <c r="E23" s="8">
        <f t="shared" ref="E23" si="0">($B$15*(1+$B$17)*$B12*(1+$B$8))/1000000</f>
        <v>109.87002</v>
      </c>
      <c r="F23" s="8">
        <f t="shared" ref="F23" si="1">($B$15*(1+$B$17)^2*$B12*(1+$B$8)^2)/1000000</f>
        <v>109.87002</v>
      </c>
      <c r="G23" s="8">
        <f t="shared" ref="G23" si="2">($B$15*(1+$B$17)^3*$B12*(1+$B$8)^3)/1000000</f>
        <v>109.87002</v>
      </c>
      <c r="H23" s="161">
        <f t="shared" ref="H23" si="3">($B$15*(1+$B$17)^4*$B12*(1+$B$8)^4)/1000000</f>
        <v>109.87002</v>
      </c>
      <c r="I23" s="78"/>
      <c r="J23" s="78"/>
      <c r="K23" s="78"/>
    </row>
    <row r="24" spans="1:12" s="140" customFormat="1" ht="14.7" thickBot="1" x14ac:dyDescent="0.6">
      <c r="A24" s="217"/>
      <c r="B24" s="244" t="s">
        <v>62</v>
      </c>
      <c r="C24" s="244"/>
      <c r="D24" s="162">
        <f>$B$16*$B$13/1000000</f>
        <v>177.77760000000001</v>
      </c>
      <c r="E24" s="49">
        <f>($B$16*(1+$B$17)*$B13*(1+$B$8))/1000000</f>
        <v>177.77760000000001</v>
      </c>
      <c r="F24" s="49">
        <f>($B$16*(1+$B$17)^2*$B13*(1+$B$8)^2)/1000000</f>
        <v>177.77760000000001</v>
      </c>
      <c r="G24" s="49">
        <f>($B$16*(1+$B$17)^3*$B13*(1+$B$8)^3)/1000000</f>
        <v>177.77760000000001</v>
      </c>
      <c r="H24" s="163">
        <f>($B$16*(1+$B$17)^4*$B13*(1+$B$8)^4)/1000000</f>
        <v>177.77760000000001</v>
      </c>
    </row>
    <row r="25" spans="1:12" ht="18.600000000000001" thickBot="1" x14ac:dyDescent="0.75">
      <c r="A25" s="4"/>
      <c r="B25" s="5"/>
      <c r="C25" s="5"/>
      <c r="D25" s="5"/>
      <c r="E25" s="5"/>
      <c r="F25" s="5"/>
      <c r="G25" s="5"/>
      <c r="H25" s="5"/>
      <c r="I25" s="5"/>
    </row>
    <row r="26" spans="1:12" ht="18.3" x14ac:dyDescent="0.7">
      <c r="A26" s="29"/>
      <c r="B26" s="30" t="s">
        <v>27</v>
      </c>
      <c r="C26" s="30"/>
      <c r="D26" s="30"/>
      <c r="E26" s="30"/>
      <c r="F26" s="30"/>
      <c r="G26" s="30"/>
      <c r="H26" s="31"/>
      <c r="I26" s="5"/>
      <c r="J26" s="5"/>
      <c r="K26" s="220" t="s">
        <v>70</v>
      </c>
      <c r="L26" s="221"/>
    </row>
    <row r="27" spans="1:12" x14ac:dyDescent="0.55000000000000004">
      <c r="A27" s="240" t="s">
        <v>1</v>
      </c>
      <c r="B27" s="241"/>
      <c r="C27" s="242"/>
      <c r="D27" s="28">
        <v>1</v>
      </c>
      <c r="E27" s="28">
        <v>2</v>
      </c>
      <c r="F27" s="28">
        <v>3</v>
      </c>
      <c r="G27" s="28">
        <v>4</v>
      </c>
      <c r="H27" s="32">
        <v>5</v>
      </c>
      <c r="I27" s="5"/>
      <c r="J27" s="5"/>
      <c r="K27" s="85" t="s">
        <v>47</v>
      </c>
      <c r="L27" s="19">
        <v>15</v>
      </c>
    </row>
    <row r="28" spans="1:12" ht="14.7" thickBot="1" x14ac:dyDescent="0.6">
      <c r="A28" s="238" t="s">
        <v>28</v>
      </c>
      <c r="B28" s="219" t="s">
        <v>66</v>
      </c>
      <c r="C28" s="219"/>
      <c r="D28" s="164">
        <v>2</v>
      </c>
      <c r="E28" s="2">
        <v>2</v>
      </c>
      <c r="F28" s="2">
        <v>2</v>
      </c>
      <c r="G28" s="2">
        <v>2</v>
      </c>
      <c r="H28" s="19">
        <v>2</v>
      </c>
      <c r="I28" s="5"/>
      <c r="J28" s="5"/>
      <c r="K28" s="86" t="s">
        <v>48</v>
      </c>
      <c r="L28" s="87">
        <v>0</v>
      </c>
    </row>
    <row r="29" spans="1:12" x14ac:dyDescent="0.55000000000000004">
      <c r="A29" s="234"/>
      <c r="B29" s="219" t="s">
        <v>67</v>
      </c>
      <c r="C29" s="219"/>
      <c r="D29" s="164">
        <v>2</v>
      </c>
      <c r="E29" s="2">
        <v>2</v>
      </c>
      <c r="F29" s="2">
        <v>2</v>
      </c>
      <c r="G29" s="2">
        <v>2</v>
      </c>
      <c r="H29" s="19">
        <v>2</v>
      </c>
      <c r="I29" s="5"/>
      <c r="J29" s="5"/>
      <c r="K29" s="5"/>
    </row>
    <row r="30" spans="1:12" x14ac:dyDescent="0.55000000000000004">
      <c r="A30" s="234"/>
      <c r="B30" s="219" t="s">
        <v>59</v>
      </c>
      <c r="C30" s="219"/>
      <c r="D30" s="164">
        <v>3</v>
      </c>
      <c r="E30" s="2">
        <f>D30+1</f>
        <v>4</v>
      </c>
      <c r="F30" s="2">
        <f t="shared" ref="F30:H30" si="4">E30+1</f>
        <v>5</v>
      </c>
      <c r="G30" s="2">
        <f t="shared" si="4"/>
        <v>6</v>
      </c>
      <c r="H30" s="19">
        <f t="shared" si="4"/>
        <v>7</v>
      </c>
      <c r="I30" s="5"/>
      <c r="J30" s="5"/>
      <c r="K30" s="168"/>
      <c r="L30" s="168"/>
    </row>
    <row r="31" spans="1:12" x14ac:dyDescent="0.55000000000000004">
      <c r="A31" s="234"/>
      <c r="B31" s="219" t="s">
        <v>60</v>
      </c>
      <c r="C31" s="219"/>
      <c r="D31" s="164">
        <v>3</v>
      </c>
      <c r="E31" s="2">
        <f>D31+1</f>
        <v>4</v>
      </c>
      <c r="F31" s="2">
        <f t="shared" ref="F31:H31" si="5">E31+1</f>
        <v>5</v>
      </c>
      <c r="G31" s="2">
        <f t="shared" si="5"/>
        <v>6</v>
      </c>
      <c r="H31" s="19">
        <f t="shared" si="5"/>
        <v>7</v>
      </c>
      <c r="I31" s="5"/>
      <c r="J31" s="5"/>
      <c r="K31" s="167"/>
      <c r="L31" s="167"/>
    </row>
    <row r="32" spans="1:12" x14ac:dyDescent="0.55000000000000004">
      <c r="A32" s="234"/>
      <c r="B32" s="219" t="s">
        <v>83</v>
      </c>
      <c r="C32" s="219"/>
      <c r="D32" s="164">
        <v>10</v>
      </c>
      <c r="E32" s="2">
        <f>D32-1</f>
        <v>9</v>
      </c>
      <c r="F32" s="2">
        <f t="shared" ref="F32:H32" si="6">E32-1</f>
        <v>8</v>
      </c>
      <c r="G32" s="2">
        <f t="shared" si="6"/>
        <v>7</v>
      </c>
      <c r="H32" s="19">
        <f t="shared" si="6"/>
        <v>6</v>
      </c>
      <c r="I32" s="5"/>
      <c r="J32" s="5"/>
      <c r="K32" s="167"/>
      <c r="L32" s="167"/>
    </row>
    <row r="33" spans="1:17" x14ac:dyDescent="0.55000000000000004">
      <c r="A33" s="234"/>
      <c r="B33" s="219" t="s">
        <v>13</v>
      </c>
      <c r="C33" s="219"/>
      <c r="D33" s="164">
        <v>2</v>
      </c>
      <c r="E33" s="2">
        <f>D33</f>
        <v>2</v>
      </c>
      <c r="F33" s="2">
        <f t="shared" ref="F33:H33" si="7">E33</f>
        <v>2</v>
      </c>
      <c r="G33" s="2">
        <f t="shared" si="7"/>
        <v>2</v>
      </c>
      <c r="H33" s="19">
        <f t="shared" si="7"/>
        <v>2</v>
      </c>
      <c r="I33" s="5"/>
      <c r="J33" s="5"/>
      <c r="K33" s="167"/>
      <c r="L33" s="167"/>
    </row>
    <row r="34" spans="1:17" ht="14.7" thickBot="1" x14ac:dyDescent="0.6">
      <c r="A34" s="239"/>
      <c r="B34" s="222" t="s">
        <v>10</v>
      </c>
      <c r="C34" s="222"/>
      <c r="D34" s="38">
        <f>SUM(D28:D33)</f>
        <v>22</v>
      </c>
      <c r="E34" s="38">
        <f>SUM(E28:E33)</f>
        <v>23</v>
      </c>
      <c r="F34" s="38">
        <f t="shared" ref="F34:H34" si="8">SUM(F28:F33)</f>
        <v>24</v>
      </c>
      <c r="G34" s="38">
        <f t="shared" si="8"/>
        <v>25</v>
      </c>
      <c r="H34" s="39">
        <f t="shared" si="8"/>
        <v>26</v>
      </c>
      <c r="I34" s="5"/>
      <c r="J34" s="5"/>
      <c r="K34" s="167"/>
      <c r="L34" s="167"/>
    </row>
    <row r="35" spans="1:17" ht="14.7" thickTop="1" x14ac:dyDescent="0.55000000000000004">
      <c r="A35" s="233" t="s">
        <v>41</v>
      </c>
      <c r="B35" s="219" t="s">
        <v>66</v>
      </c>
      <c r="C35" s="219"/>
      <c r="D35" s="179">
        <v>2</v>
      </c>
      <c r="E35" s="36">
        <f>D35</f>
        <v>2</v>
      </c>
      <c r="F35" s="36">
        <f t="shared" ref="F35:H35" si="9">E35</f>
        <v>2</v>
      </c>
      <c r="G35" s="36">
        <f t="shared" si="9"/>
        <v>2</v>
      </c>
      <c r="H35" s="37">
        <f t="shared" si="9"/>
        <v>2</v>
      </c>
      <c r="I35" s="5"/>
      <c r="J35" s="5"/>
      <c r="K35" s="167"/>
      <c r="L35" s="167"/>
    </row>
    <row r="36" spans="1:17" x14ac:dyDescent="0.55000000000000004">
      <c r="A36" s="234"/>
      <c r="B36" s="219" t="s">
        <v>67</v>
      </c>
      <c r="C36" s="219"/>
      <c r="D36" s="164">
        <v>2</v>
      </c>
      <c r="E36" s="2">
        <f>D36</f>
        <v>2</v>
      </c>
      <c r="F36" s="2">
        <f t="shared" ref="F36:H36" si="10">E36</f>
        <v>2</v>
      </c>
      <c r="G36" s="2">
        <f t="shared" si="10"/>
        <v>2</v>
      </c>
      <c r="H36" s="19">
        <f t="shared" si="10"/>
        <v>2</v>
      </c>
      <c r="I36" s="5"/>
      <c r="J36" s="5"/>
      <c r="K36" s="167"/>
      <c r="L36" s="167"/>
    </row>
    <row r="37" spans="1:17" x14ac:dyDescent="0.55000000000000004">
      <c r="A37" s="234"/>
      <c r="B37" s="219" t="s">
        <v>83</v>
      </c>
      <c r="C37" s="219"/>
      <c r="D37" s="164">
        <v>13</v>
      </c>
      <c r="E37" s="2">
        <f>D37</f>
        <v>13</v>
      </c>
      <c r="F37" s="2">
        <f t="shared" ref="F37:H37" si="11">E37</f>
        <v>13</v>
      </c>
      <c r="G37" s="2">
        <f t="shared" si="11"/>
        <v>13</v>
      </c>
      <c r="H37" s="19">
        <f t="shared" si="11"/>
        <v>13</v>
      </c>
      <c r="I37" s="5"/>
      <c r="J37" s="5"/>
      <c r="K37" s="167"/>
      <c r="L37" s="167"/>
    </row>
    <row r="38" spans="1:17" x14ac:dyDescent="0.55000000000000004">
      <c r="A38" s="235"/>
      <c r="B38" s="219" t="s">
        <v>10</v>
      </c>
      <c r="C38" s="219"/>
      <c r="D38" s="2">
        <f>SUM(D35:D37)</f>
        <v>17</v>
      </c>
      <c r="E38" s="2">
        <f>SUM(E35:E37)</f>
        <v>17</v>
      </c>
      <c r="F38" s="2">
        <f t="shared" ref="F38:H38" si="12">SUM(F35:F37)</f>
        <v>17</v>
      </c>
      <c r="G38" s="2">
        <f t="shared" si="12"/>
        <v>17</v>
      </c>
      <c r="H38" s="19">
        <f t="shared" si="12"/>
        <v>17</v>
      </c>
      <c r="I38" s="5"/>
      <c r="J38" s="5"/>
      <c r="K38" s="167"/>
      <c r="L38" s="167"/>
    </row>
    <row r="39" spans="1:17" ht="14.7" thickBot="1" x14ac:dyDescent="0.6">
      <c r="A39" s="33" t="s">
        <v>95</v>
      </c>
      <c r="B39" s="34"/>
      <c r="C39" s="34"/>
      <c r="D39" s="34"/>
      <c r="E39" s="34"/>
      <c r="F39" s="34"/>
      <c r="G39" s="34"/>
      <c r="H39" s="35"/>
      <c r="I39" s="5"/>
      <c r="J39" s="5"/>
      <c r="K39" s="167"/>
      <c r="L39" s="167"/>
    </row>
    <row r="40" spans="1:17" x14ac:dyDescent="0.55000000000000004">
      <c r="A40" s="5"/>
      <c r="B40" s="5"/>
      <c r="C40" s="5"/>
      <c r="D40" s="5"/>
      <c r="E40" s="5"/>
      <c r="F40" s="5"/>
      <c r="G40" s="5"/>
      <c r="H40" s="5"/>
      <c r="I40" s="5"/>
      <c r="J40" s="5"/>
      <c r="K40" s="167"/>
      <c r="L40" s="167"/>
    </row>
    <row r="41" spans="1:17" ht="14.7" thickBot="1" x14ac:dyDescent="0.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7" ht="18.600000000000001" thickBot="1" x14ac:dyDescent="0.75">
      <c r="A42" s="53" t="s">
        <v>11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6"/>
    </row>
    <row r="43" spans="1:17" ht="18.600000000000001" thickBot="1" x14ac:dyDescent="0.7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7" ht="14.7" thickBot="1" x14ac:dyDescent="0.6">
      <c r="A44" s="88" t="s">
        <v>75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90"/>
    </row>
    <row r="45" spans="1:17" s="41" customFormat="1" x14ac:dyDescent="0.55000000000000004">
      <c r="A45" s="224"/>
      <c r="B45" s="225"/>
      <c r="C45" s="226" t="s">
        <v>68</v>
      </c>
      <c r="D45" s="227"/>
      <c r="E45" s="227"/>
      <c r="F45" s="227"/>
      <c r="G45" s="228"/>
      <c r="H45" s="226" t="s">
        <v>14</v>
      </c>
      <c r="I45" s="227"/>
      <c r="J45" s="227"/>
      <c r="K45" s="227"/>
      <c r="L45" s="228"/>
      <c r="M45" s="245" t="s">
        <v>69</v>
      </c>
      <c r="N45" s="227"/>
      <c r="O45" s="227"/>
      <c r="P45" s="227"/>
      <c r="Q45" s="228"/>
    </row>
    <row r="46" spans="1:17" s="41" customFormat="1" x14ac:dyDescent="0.55000000000000004">
      <c r="A46" s="240" t="s">
        <v>1</v>
      </c>
      <c r="B46" s="241"/>
      <c r="C46" s="81">
        <v>1</v>
      </c>
      <c r="D46" s="82">
        <v>2</v>
      </c>
      <c r="E46" s="82">
        <v>3</v>
      </c>
      <c r="F46" s="82">
        <v>4</v>
      </c>
      <c r="G46" s="83">
        <v>5</v>
      </c>
      <c r="H46" s="81">
        <v>1</v>
      </c>
      <c r="I46" s="82">
        <v>2</v>
      </c>
      <c r="J46" s="82">
        <v>3</v>
      </c>
      <c r="K46" s="82">
        <v>4</v>
      </c>
      <c r="L46" s="83">
        <v>5</v>
      </c>
      <c r="M46" s="75">
        <v>1</v>
      </c>
      <c r="N46" s="82">
        <v>2</v>
      </c>
      <c r="O46" s="82">
        <v>3</v>
      </c>
      <c r="P46" s="82">
        <v>4</v>
      </c>
      <c r="Q46" s="83">
        <v>5</v>
      </c>
    </row>
    <row r="47" spans="1:17" s="41" customFormat="1" ht="15.6" x14ac:dyDescent="0.55000000000000004">
      <c r="A47" s="209" t="s">
        <v>65</v>
      </c>
      <c r="B47" s="84" t="s">
        <v>47</v>
      </c>
      <c r="C47" s="92">
        <f>SUM(D28+D30+D32)</f>
        <v>15</v>
      </c>
      <c r="D47" s="93">
        <f>SUM(E28+E30+E32)</f>
        <v>15</v>
      </c>
      <c r="E47" s="93">
        <f>SUM(F28+F30+F32)</f>
        <v>15</v>
      </c>
      <c r="F47" s="93">
        <f>SUM(G28+G30+G32)</f>
        <v>15</v>
      </c>
      <c r="G47" s="94">
        <f>SUM(H28+H30+H32)</f>
        <v>15</v>
      </c>
      <c r="H47" s="92">
        <f t="shared" ref="H47:L50" si="13">C47*D21</f>
        <v>2577.7197000000001</v>
      </c>
      <c r="I47" s="92">
        <f t="shared" si="13"/>
        <v>2577.7197000000001</v>
      </c>
      <c r="J47" s="92">
        <f t="shared" si="13"/>
        <v>2577.7197000000001</v>
      </c>
      <c r="K47" s="92">
        <f t="shared" si="13"/>
        <v>2577.7197000000001</v>
      </c>
      <c r="L47" s="95">
        <f t="shared" si="13"/>
        <v>2577.7197000000001</v>
      </c>
      <c r="M47" s="96">
        <f>(C47-$L$27)*D21</f>
        <v>0</v>
      </c>
      <c r="N47" s="96">
        <f>(D47-$L$27)*E21</f>
        <v>0</v>
      </c>
      <c r="O47" s="96">
        <f>(E47-$L$27)*F21</f>
        <v>0</v>
      </c>
      <c r="P47" s="96">
        <f>(F47-$L$27)*G21</f>
        <v>0</v>
      </c>
      <c r="Q47" s="97">
        <f>(G47-$L$27)*H21</f>
        <v>0</v>
      </c>
    </row>
    <row r="48" spans="1:17" s="41" customFormat="1" ht="15.6" x14ac:dyDescent="0.55000000000000004">
      <c r="A48" s="209"/>
      <c r="B48" s="84" t="s">
        <v>48</v>
      </c>
      <c r="C48" s="92">
        <f>D29</f>
        <v>2</v>
      </c>
      <c r="D48" s="93">
        <f>E29</f>
        <v>2</v>
      </c>
      <c r="E48" s="93">
        <f>F29</f>
        <v>2</v>
      </c>
      <c r="F48" s="93">
        <f>G29</f>
        <v>2</v>
      </c>
      <c r="G48" s="94">
        <f>H29</f>
        <v>2</v>
      </c>
      <c r="H48" s="92">
        <f t="shared" si="13"/>
        <v>556.12480000000005</v>
      </c>
      <c r="I48" s="92">
        <f t="shared" si="13"/>
        <v>556.12480000000005</v>
      </c>
      <c r="J48" s="92">
        <f t="shared" si="13"/>
        <v>556.12480000000005</v>
      </c>
      <c r="K48" s="92">
        <f t="shared" si="13"/>
        <v>556.12480000000005</v>
      </c>
      <c r="L48" s="95">
        <f t="shared" si="13"/>
        <v>556.12480000000005</v>
      </c>
      <c r="M48" s="96">
        <f>(C48-$L$28)*D22</f>
        <v>556.12480000000005</v>
      </c>
      <c r="N48" s="96">
        <f>(D48-$L$28)*E22</f>
        <v>556.12480000000005</v>
      </c>
      <c r="O48" s="96">
        <f>(E48-$L$28)*F22</f>
        <v>556.12480000000005</v>
      </c>
      <c r="P48" s="96">
        <f>(F48-$L$28)*G22</f>
        <v>556.12480000000005</v>
      </c>
      <c r="Q48" s="97">
        <f>(G48-$L$28)*H22</f>
        <v>556.12480000000005</v>
      </c>
    </row>
    <row r="49" spans="1:17" s="41" customFormat="1" ht="15.6" x14ac:dyDescent="0.55000000000000004">
      <c r="A49" s="209" t="s">
        <v>41</v>
      </c>
      <c r="B49" s="84" t="s">
        <v>47</v>
      </c>
      <c r="C49" s="92">
        <f>SUM(D35,D37)</f>
        <v>15</v>
      </c>
      <c r="D49" s="93">
        <f>SUM(E35,E37)</f>
        <v>15</v>
      </c>
      <c r="E49" s="93">
        <f>SUM(F35,F37)</f>
        <v>15</v>
      </c>
      <c r="F49" s="93">
        <f>SUM(G35,G37)</f>
        <v>15</v>
      </c>
      <c r="G49" s="94">
        <f>SUM(H35,H37)</f>
        <v>15</v>
      </c>
      <c r="H49" s="92">
        <f t="shared" si="13"/>
        <v>1648.0502999999999</v>
      </c>
      <c r="I49" s="92">
        <f t="shared" si="13"/>
        <v>1648.0502999999999</v>
      </c>
      <c r="J49" s="92">
        <f t="shared" si="13"/>
        <v>1648.0502999999999</v>
      </c>
      <c r="K49" s="92">
        <f t="shared" si="13"/>
        <v>1648.0502999999999</v>
      </c>
      <c r="L49" s="95">
        <f t="shared" si="13"/>
        <v>1648.0502999999999</v>
      </c>
      <c r="M49" s="96">
        <f>(C49-$L$27)*D23</f>
        <v>0</v>
      </c>
      <c r="N49" s="96">
        <f>(D49-$L$27)*E23</f>
        <v>0</v>
      </c>
      <c r="O49" s="96">
        <f>(E49-$L$27)*F23</f>
        <v>0</v>
      </c>
      <c r="P49" s="96">
        <f>(F49-$L$27)*G23</f>
        <v>0</v>
      </c>
      <c r="Q49" s="97">
        <f>(G49-$L$27)*H23</f>
        <v>0</v>
      </c>
    </row>
    <row r="50" spans="1:17" s="41" customFormat="1" ht="15.9" thickBot="1" x14ac:dyDescent="0.6">
      <c r="A50" s="223"/>
      <c r="B50" s="91" t="s">
        <v>48</v>
      </c>
      <c r="C50" s="98">
        <f>D36</f>
        <v>2</v>
      </c>
      <c r="D50" s="99">
        <f>E36</f>
        <v>2</v>
      </c>
      <c r="E50" s="99">
        <f>F36</f>
        <v>2</v>
      </c>
      <c r="F50" s="99">
        <f>G36</f>
        <v>2</v>
      </c>
      <c r="G50" s="100">
        <f>H36</f>
        <v>2</v>
      </c>
      <c r="H50" s="98">
        <f t="shared" si="13"/>
        <v>355.55520000000001</v>
      </c>
      <c r="I50" s="98">
        <f t="shared" si="13"/>
        <v>355.55520000000001</v>
      </c>
      <c r="J50" s="98">
        <f t="shared" si="13"/>
        <v>355.55520000000001</v>
      </c>
      <c r="K50" s="98">
        <f t="shared" si="13"/>
        <v>355.55520000000001</v>
      </c>
      <c r="L50" s="101">
        <f t="shared" si="13"/>
        <v>355.55520000000001</v>
      </c>
      <c r="M50" s="102">
        <f>(C50-$L$28)*D24</f>
        <v>355.55520000000001</v>
      </c>
      <c r="N50" s="102">
        <f>(D50-$L$28)*E24</f>
        <v>355.55520000000001</v>
      </c>
      <c r="O50" s="102">
        <f>(E50-$L$28)*F24</f>
        <v>355.55520000000001</v>
      </c>
      <c r="P50" s="102">
        <f>(F50-$L$28)*G24</f>
        <v>355.55520000000001</v>
      </c>
      <c r="Q50" s="103">
        <f>(G50-$L$28)*H24</f>
        <v>355.55520000000001</v>
      </c>
    </row>
    <row r="51" spans="1:17" s="41" customFormat="1" ht="15.9" thickTop="1" x14ac:dyDescent="0.6">
      <c r="A51" s="208" t="s">
        <v>72</v>
      </c>
      <c r="B51" s="84" t="s">
        <v>47</v>
      </c>
      <c r="C51" s="112">
        <f>C47*$B$6+C49*$B$7</f>
        <v>15</v>
      </c>
      <c r="D51" s="113">
        <f t="shared" ref="D51:G52" si="14">D47*$B$6+D49*$B$7</f>
        <v>15</v>
      </c>
      <c r="E51" s="113">
        <f t="shared" si="14"/>
        <v>15</v>
      </c>
      <c r="F51" s="113">
        <f t="shared" si="14"/>
        <v>15</v>
      </c>
      <c r="G51" s="114">
        <f t="shared" si="14"/>
        <v>15</v>
      </c>
      <c r="H51" s="104">
        <f>H47+H49</f>
        <v>4225.7700000000004</v>
      </c>
      <c r="I51" s="105">
        <f t="shared" ref="I51:Q51" si="15">I47+I49</f>
        <v>4225.7700000000004</v>
      </c>
      <c r="J51" s="105">
        <f t="shared" si="15"/>
        <v>4225.7700000000004</v>
      </c>
      <c r="K51" s="105">
        <f t="shared" si="15"/>
        <v>4225.7700000000004</v>
      </c>
      <c r="L51" s="106">
        <f t="shared" si="15"/>
        <v>4225.7700000000004</v>
      </c>
      <c r="M51" s="107">
        <f t="shared" si="15"/>
        <v>0</v>
      </c>
      <c r="N51" s="105">
        <f t="shared" si="15"/>
        <v>0</v>
      </c>
      <c r="O51" s="105">
        <f t="shared" si="15"/>
        <v>0</v>
      </c>
      <c r="P51" s="105">
        <f t="shared" si="15"/>
        <v>0</v>
      </c>
      <c r="Q51" s="106">
        <f t="shared" si="15"/>
        <v>0</v>
      </c>
    </row>
    <row r="52" spans="1:17" s="41" customFormat="1" ht="15.6" x14ac:dyDescent="0.6">
      <c r="A52" s="209"/>
      <c r="B52" s="84" t="s">
        <v>48</v>
      </c>
      <c r="C52" s="112">
        <f>C48*$B$6+C50*$B$7</f>
        <v>2</v>
      </c>
      <c r="D52" s="113">
        <f t="shared" si="14"/>
        <v>2</v>
      </c>
      <c r="E52" s="113">
        <f t="shared" si="14"/>
        <v>2</v>
      </c>
      <c r="F52" s="113">
        <f t="shared" si="14"/>
        <v>2</v>
      </c>
      <c r="G52" s="114">
        <f t="shared" si="14"/>
        <v>2</v>
      </c>
      <c r="H52" s="108">
        <f>H48+H50</f>
        <v>911.68000000000006</v>
      </c>
      <c r="I52" s="109">
        <f t="shared" ref="I52:Q52" si="16">I48+I50</f>
        <v>911.68000000000006</v>
      </c>
      <c r="J52" s="109">
        <f t="shared" si="16"/>
        <v>911.68000000000006</v>
      </c>
      <c r="K52" s="109">
        <f t="shared" si="16"/>
        <v>911.68000000000006</v>
      </c>
      <c r="L52" s="110">
        <f t="shared" si="16"/>
        <v>911.68000000000006</v>
      </c>
      <c r="M52" s="111">
        <f t="shared" si="16"/>
        <v>911.68000000000006</v>
      </c>
      <c r="N52" s="109">
        <f t="shared" si="16"/>
        <v>911.68000000000006</v>
      </c>
      <c r="O52" s="109">
        <f t="shared" si="16"/>
        <v>911.68000000000006</v>
      </c>
      <c r="P52" s="109">
        <f t="shared" si="16"/>
        <v>911.68000000000006</v>
      </c>
      <c r="Q52" s="110">
        <f t="shared" si="16"/>
        <v>911.68000000000006</v>
      </c>
    </row>
    <row r="53" spans="1:17" s="41" customFormat="1" ht="15.9" thickBot="1" x14ac:dyDescent="0.65">
      <c r="A53" s="246" t="s">
        <v>71</v>
      </c>
      <c r="B53" s="247"/>
      <c r="C53" s="124">
        <f>SUM(C51:C52)</f>
        <v>17</v>
      </c>
      <c r="D53" s="124">
        <f t="shared" ref="D53:G53" si="17">SUM(D51:D52)</f>
        <v>17</v>
      </c>
      <c r="E53" s="124">
        <f t="shared" si="17"/>
        <v>17</v>
      </c>
      <c r="F53" s="124">
        <f t="shared" si="17"/>
        <v>17</v>
      </c>
      <c r="G53" s="124">
        <f t="shared" si="17"/>
        <v>17</v>
      </c>
      <c r="H53" s="125">
        <f>SUM(H51:H52)</f>
        <v>5137.4500000000007</v>
      </c>
      <c r="I53" s="126">
        <f t="shared" ref="I53:Q53" si="18">SUM(I51:I52)</f>
        <v>5137.4500000000007</v>
      </c>
      <c r="J53" s="126">
        <f t="shared" si="18"/>
        <v>5137.4500000000007</v>
      </c>
      <c r="K53" s="126">
        <f t="shared" si="18"/>
        <v>5137.4500000000007</v>
      </c>
      <c r="L53" s="127">
        <f t="shared" si="18"/>
        <v>5137.4500000000007</v>
      </c>
      <c r="M53" s="128">
        <f t="shared" si="18"/>
        <v>911.68000000000006</v>
      </c>
      <c r="N53" s="126">
        <f t="shared" si="18"/>
        <v>911.68000000000006</v>
      </c>
      <c r="O53" s="126">
        <f t="shared" si="18"/>
        <v>911.68000000000006</v>
      </c>
      <c r="P53" s="126">
        <f t="shared" si="18"/>
        <v>911.68000000000006</v>
      </c>
      <c r="Q53" s="127">
        <f t="shared" si="18"/>
        <v>911.68000000000006</v>
      </c>
    </row>
    <row r="54" spans="1:17" s="41" customFormat="1" ht="15.9" thickBot="1" x14ac:dyDescent="0.65">
      <c r="A54" s="80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7" s="41" customFormat="1" ht="14.7" thickBot="1" x14ac:dyDescent="0.6">
      <c r="A55" s="88" t="s">
        <v>76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90"/>
    </row>
    <row r="56" spans="1:17" s="41" customFormat="1" x14ac:dyDescent="0.55000000000000004">
      <c r="A56" s="224"/>
      <c r="B56" s="225"/>
      <c r="C56" s="226" t="s">
        <v>68</v>
      </c>
      <c r="D56" s="227"/>
      <c r="E56" s="227"/>
      <c r="F56" s="227"/>
      <c r="G56" s="228"/>
      <c r="H56" s="226" t="s">
        <v>14</v>
      </c>
      <c r="I56" s="227"/>
      <c r="J56" s="227"/>
      <c r="K56" s="227"/>
      <c r="L56" s="228"/>
      <c r="M56" s="226" t="s">
        <v>69</v>
      </c>
      <c r="N56" s="227"/>
      <c r="O56" s="227"/>
      <c r="P56" s="227"/>
      <c r="Q56" s="228"/>
    </row>
    <row r="57" spans="1:17" s="41" customFormat="1" x14ac:dyDescent="0.55000000000000004">
      <c r="A57" s="240" t="s">
        <v>1</v>
      </c>
      <c r="B57" s="241"/>
      <c r="C57" s="81">
        <v>1</v>
      </c>
      <c r="D57" s="82">
        <v>2</v>
      </c>
      <c r="E57" s="82">
        <v>3</v>
      </c>
      <c r="F57" s="82">
        <v>4</v>
      </c>
      <c r="G57" s="83">
        <v>5</v>
      </c>
      <c r="H57" s="81">
        <v>1</v>
      </c>
      <c r="I57" s="82">
        <v>2</v>
      </c>
      <c r="J57" s="82">
        <v>3</v>
      </c>
      <c r="K57" s="82">
        <v>4</v>
      </c>
      <c r="L57" s="83">
        <v>5</v>
      </c>
      <c r="M57" s="81">
        <v>1</v>
      </c>
      <c r="N57" s="82">
        <v>2</v>
      </c>
      <c r="O57" s="82">
        <v>3</v>
      </c>
      <c r="P57" s="82">
        <v>4</v>
      </c>
      <c r="Q57" s="83">
        <v>5</v>
      </c>
    </row>
    <row r="58" spans="1:17" s="41" customFormat="1" ht="15.6" x14ac:dyDescent="0.55000000000000004">
      <c r="A58" s="209" t="s">
        <v>65</v>
      </c>
      <c r="B58" s="84" t="s">
        <v>47</v>
      </c>
      <c r="C58" s="92">
        <f>C47</f>
        <v>15</v>
      </c>
      <c r="D58" s="93">
        <f t="shared" ref="D58:G58" si="19">D47</f>
        <v>15</v>
      </c>
      <c r="E58" s="93">
        <f t="shared" si="19"/>
        <v>15</v>
      </c>
      <c r="F58" s="93">
        <f t="shared" si="19"/>
        <v>15</v>
      </c>
      <c r="G58" s="94">
        <f t="shared" si="19"/>
        <v>15</v>
      </c>
      <c r="H58" s="92">
        <f t="shared" ref="H58:L61" si="20">C58*D21</f>
        <v>2577.7197000000001</v>
      </c>
      <c r="I58" s="93">
        <f t="shared" si="20"/>
        <v>2577.7197000000001</v>
      </c>
      <c r="J58" s="93">
        <f t="shared" si="20"/>
        <v>2577.7197000000001</v>
      </c>
      <c r="K58" s="93">
        <f t="shared" si="20"/>
        <v>2577.7197000000001</v>
      </c>
      <c r="L58" s="94">
        <f t="shared" si="20"/>
        <v>2577.7197000000001</v>
      </c>
      <c r="M58" s="92">
        <f>(C58-$L$27)*D21</f>
        <v>0</v>
      </c>
      <c r="N58" s="93">
        <f>(D58-$L$27)*E21</f>
        <v>0</v>
      </c>
      <c r="O58" s="93">
        <f>(E58-$L$27)*F21</f>
        <v>0</v>
      </c>
      <c r="P58" s="93">
        <f>(F58-$L$27)*G21</f>
        <v>0</v>
      </c>
      <c r="Q58" s="94">
        <f>(G58-$L$27)*H21</f>
        <v>0</v>
      </c>
    </row>
    <row r="59" spans="1:17" s="41" customFormat="1" ht="15.6" x14ac:dyDescent="0.55000000000000004">
      <c r="A59" s="209"/>
      <c r="B59" s="84" t="s">
        <v>48</v>
      </c>
      <c r="C59" s="92">
        <f>D29+ROUNDUP(50%*D31,0)</f>
        <v>4</v>
      </c>
      <c r="D59" s="93">
        <f>E29+ROUNDUP(50%*E31,0)</f>
        <v>4</v>
      </c>
      <c r="E59" s="93">
        <f>F29+ROUNDUP(50%*F31,0)</f>
        <v>5</v>
      </c>
      <c r="F59" s="93">
        <f>G29+ROUNDUP(50%*G31,0)</f>
        <v>5</v>
      </c>
      <c r="G59" s="94">
        <f>H29+ROUNDUP(50%*H31,0)</f>
        <v>6</v>
      </c>
      <c r="H59" s="92">
        <f t="shared" si="20"/>
        <v>1112.2496000000001</v>
      </c>
      <c r="I59" s="93">
        <f t="shared" si="20"/>
        <v>1112.2496000000001</v>
      </c>
      <c r="J59" s="93">
        <f t="shared" si="20"/>
        <v>1390.3120000000001</v>
      </c>
      <c r="K59" s="93">
        <f t="shared" si="20"/>
        <v>1390.3120000000001</v>
      </c>
      <c r="L59" s="94">
        <f t="shared" si="20"/>
        <v>1668.3744000000002</v>
      </c>
      <c r="M59" s="92">
        <f>(C59-$L$28)*D22</f>
        <v>1112.2496000000001</v>
      </c>
      <c r="N59" s="93">
        <f>(D59-$L$28)*E22</f>
        <v>1112.2496000000001</v>
      </c>
      <c r="O59" s="93">
        <f>(E59-$L$28)*F22</f>
        <v>1390.3120000000001</v>
      </c>
      <c r="P59" s="93">
        <f>(F59-$L$28)*G22</f>
        <v>1390.3120000000001</v>
      </c>
      <c r="Q59" s="94">
        <f>(G59-$L$28)*H22</f>
        <v>1668.3744000000002</v>
      </c>
    </row>
    <row r="60" spans="1:17" s="41" customFormat="1" ht="15.6" x14ac:dyDescent="0.55000000000000004">
      <c r="A60" s="209" t="s">
        <v>41</v>
      </c>
      <c r="B60" s="183" t="s">
        <v>47</v>
      </c>
      <c r="C60" s="92">
        <f>C49</f>
        <v>15</v>
      </c>
      <c r="D60" s="93">
        <f t="shared" ref="D60:G60" si="21">D49</f>
        <v>15</v>
      </c>
      <c r="E60" s="93">
        <f t="shared" si="21"/>
        <v>15</v>
      </c>
      <c r="F60" s="93">
        <f t="shared" si="21"/>
        <v>15</v>
      </c>
      <c r="G60" s="94">
        <f t="shared" si="21"/>
        <v>15</v>
      </c>
      <c r="H60" s="92">
        <f t="shared" si="20"/>
        <v>1648.0502999999999</v>
      </c>
      <c r="I60" s="93">
        <f t="shared" si="20"/>
        <v>1648.0502999999999</v>
      </c>
      <c r="J60" s="93">
        <f t="shared" si="20"/>
        <v>1648.0502999999999</v>
      </c>
      <c r="K60" s="93">
        <f t="shared" si="20"/>
        <v>1648.0502999999999</v>
      </c>
      <c r="L60" s="94">
        <f t="shared" si="20"/>
        <v>1648.0502999999999</v>
      </c>
      <c r="M60" s="92">
        <f>(C60-$L$27)*D23</f>
        <v>0</v>
      </c>
      <c r="N60" s="93">
        <f>(D60-$L$27)*E23</f>
        <v>0</v>
      </c>
      <c r="O60" s="93">
        <f>(E60-$L$27)*F23</f>
        <v>0</v>
      </c>
      <c r="P60" s="93">
        <f>(F60-$L$27)*G23</f>
        <v>0</v>
      </c>
      <c r="Q60" s="94">
        <f>(G60-$L$27)*H23</f>
        <v>0</v>
      </c>
    </row>
    <row r="61" spans="1:17" s="41" customFormat="1" ht="15.9" thickBot="1" x14ac:dyDescent="0.6">
      <c r="A61" s="223"/>
      <c r="B61" s="184" t="s">
        <v>48</v>
      </c>
      <c r="C61" s="92">
        <f>D29</f>
        <v>2</v>
      </c>
      <c r="D61" s="93">
        <f>E29</f>
        <v>2</v>
      </c>
      <c r="E61" s="93">
        <f>F29</f>
        <v>2</v>
      </c>
      <c r="F61" s="93">
        <f>G29</f>
        <v>2</v>
      </c>
      <c r="G61" s="94">
        <f>H29</f>
        <v>2</v>
      </c>
      <c r="H61" s="92">
        <f t="shared" si="20"/>
        <v>355.55520000000001</v>
      </c>
      <c r="I61" s="93">
        <f t="shared" si="20"/>
        <v>355.55520000000001</v>
      </c>
      <c r="J61" s="93">
        <f t="shared" si="20"/>
        <v>355.55520000000001</v>
      </c>
      <c r="K61" s="93">
        <f t="shared" si="20"/>
        <v>355.55520000000001</v>
      </c>
      <c r="L61" s="94">
        <f t="shared" si="20"/>
        <v>355.55520000000001</v>
      </c>
      <c r="M61" s="92">
        <f>(C61-$L$28)*D24</f>
        <v>355.55520000000001</v>
      </c>
      <c r="N61" s="93">
        <f>(D61-$L$28)*E24</f>
        <v>355.55520000000001</v>
      </c>
      <c r="O61" s="93">
        <f>(E61-$L$28)*F24</f>
        <v>355.55520000000001</v>
      </c>
      <c r="P61" s="93">
        <f>(F61-$L$28)*G24</f>
        <v>355.55520000000001</v>
      </c>
      <c r="Q61" s="94">
        <f>(G61-$L$28)*H24</f>
        <v>355.55520000000001</v>
      </c>
    </row>
    <row r="62" spans="1:17" s="41" customFormat="1" ht="15.9" thickTop="1" x14ac:dyDescent="0.6">
      <c r="A62" s="208" t="s">
        <v>72</v>
      </c>
      <c r="B62" s="117" t="s">
        <v>47</v>
      </c>
      <c r="C62" s="194">
        <f>C58*$B$6+C60*$B$7</f>
        <v>15</v>
      </c>
      <c r="D62" s="185">
        <f t="shared" ref="D62:G62" si="22">D58*$B$6+D60*$B$7</f>
        <v>15</v>
      </c>
      <c r="E62" s="185">
        <f t="shared" si="22"/>
        <v>15</v>
      </c>
      <c r="F62" s="185">
        <f t="shared" si="22"/>
        <v>15</v>
      </c>
      <c r="G62" s="195">
        <f t="shared" si="22"/>
        <v>15</v>
      </c>
      <c r="H62" s="108">
        <f>H58+H60</f>
        <v>4225.7700000000004</v>
      </c>
      <c r="I62" s="109">
        <f t="shared" ref="I62:Q62" si="23">I58+I60</f>
        <v>4225.7700000000004</v>
      </c>
      <c r="J62" s="109">
        <f t="shared" si="23"/>
        <v>4225.7700000000004</v>
      </c>
      <c r="K62" s="109">
        <f t="shared" si="23"/>
        <v>4225.7700000000004</v>
      </c>
      <c r="L62" s="110">
        <f t="shared" si="23"/>
        <v>4225.7700000000004</v>
      </c>
      <c r="M62" s="108">
        <f t="shared" si="23"/>
        <v>0</v>
      </c>
      <c r="N62" s="109">
        <f t="shared" si="23"/>
        <v>0</v>
      </c>
      <c r="O62" s="109">
        <f t="shared" si="23"/>
        <v>0</v>
      </c>
      <c r="P62" s="109">
        <f t="shared" si="23"/>
        <v>0</v>
      </c>
      <c r="Q62" s="110">
        <f t="shared" si="23"/>
        <v>0</v>
      </c>
    </row>
    <row r="63" spans="1:17" s="41" customFormat="1" ht="15.9" thickBot="1" x14ac:dyDescent="0.65">
      <c r="A63" s="209"/>
      <c r="B63" s="84" t="s">
        <v>48</v>
      </c>
      <c r="C63" s="196">
        <f>C59*$B$6+C61*$B$7</f>
        <v>3.2199999999999998</v>
      </c>
      <c r="D63" s="197">
        <f t="shared" ref="D63:G63" si="24">D59*$B$6+D61*$B$7</f>
        <v>3.2199999999999998</v>
      </c>
      <c r="E63" s="197">
        <f t="shared" si="24"/>
        <v>3.83</v>
      </c>
      <c r="F63" s="197">
        <f t="shared" si="24"/>
        <v>3.83</v>
      </c>
      <c r="G63" s="198">
        <f t="shared" si="24"/>
        <v>4.4400000000000004</v>
      </c>
      <c r="H63" s="189">
        <f>H59+H61</f>
        <v>1467.8048000000001</v>
      </c>
      <c r="I63" s="190">
        <f t="shared" ref="I63:Q63" si="25">I59+I61</f>
        <v>1467.8048000000001</v>
      </c>
      <c r="J63" s="190">
        <f t="shared" si="25"/>
        <v>1745.8672000000001</v>
      </c>
      <c r="K63" s="190">
        <f t="shared" si="25"/>
        <v>1745.8672000000001</v>
      </c>
      <c r="L63" s="191">
        <f t="shared" si="25"/>
        <v>2023.9296000000002</v>
      </c>
      <c r="M63" s="189">
        <f t="shared" si="25"/>
        <v>1467.8048000000001</v>
      </c>
      <c r="N63" s="190">
        <f t="shared" si="25"/>
        <v>1467.8048000000001</v>
      </c>
      <c r="O63" s="190">
        <f t="shared" si="25"/>
        <v>1745.8672000000001</v>
      </c>
      <c r="P63" s="190">
        <f t="shared" si="25"/>
        <v>1745.8672000000001</v>
      </c>
      <c r="Q63" s="191">
        <f t="shared" si="25"/>
        <v>2023.9296000000002</v>
      </c>
    </row>
    <row r="64" spans="1:17" s="41" customFormat="1" ht="15.9" thickBot="1" x14ac:dyDescent="0.65">
      <c r="A64" s="210" t="s">
        <v>71</v>
      </c>
      <c r="B64" s="211"/>
      <c r="C64" s="193">
        <f>SUM(C62:C63)</f>
        <v>18.22</v>
      </c>
      <c r="D64" s="193">
        <f t="shared" ref="D64:G64" si="26">SUM(D62:D63)</f>
        <v>18.22</v>
      </c>
      <c r="E64" s="193">
        <f t="shared" si="26"/>
        <v>18.829999999999998</v>
      </c>
      <c r="F64" s="193">
        <f t="shared" si="26"/>
        <v>18.829999999999998</v>
      </c>
      <c r="G64" s="193">
        <f t="shared" si="26"/>
        <v>19.440000000000001</v>
      </c>
      <c r="H64" s="186">
        <f>SUM(H62:H63)</f>
        <v>5693.5748000000003</v>
      </c>
      <c r="I64" s="187">
        <f t="shared" ref="I64" si="27">SUM(I62:I63)</f>
        <v>5693.5748000000003</v>
      </c>
      <c r="J64" s="187">
        <f t="shared" ref="J64" si="28">SUM(J62:J63)</f>
        <v>5971.637200000001</v>
      </c>
      <c r="K64" s="187">
        <f t="shared" ref="K64" si="29">SUM(K62:K63)</f>
        <v>5971.637200000001</v>
      </c>
      <c r="L64" s="192">
        <f t="shared" ref="L64" si="30">SUM(L62:L63)</f>
        <v>6249.6996000000008</v>
      </c>
      <c r="M64" s="186">
        <f t="shared" ref="M64" si="31">SUM(M62:M63)</f>
        <v>1467.8048000000001</v>
      </c>
      <c r="N64" s="187">
        <f t="shared" ref="N64" si="32">SUM(N62:N63)</f>
        <v>1467.8048000000001</v>
      </c>
      <c r="O64" s="187">
        <f t="shared" ref="O64" si="33">SUM(O62:O63)</f>
        <v>1745.8672000000001</v>
      </c>
      <c r="P64" s="187">
        <f t="shared" ref="P64" si="34">SUM(P62:P63)</f>
        <v>1745.8672000000001</v>
      </c>
      <c r="Q64" s="188">
        <f t="shared" ref="Q64" si="35">SUM(Q62:Q63)</f>
        <v>2023.9296000000002</v>
      </c>
    </row>
    <row r="65" spans="1:17" s="41" customFormat="1" ht="15.9" thickBot="1" x14ac:dyDescent="0.65">
      <c r="A65" s="80"/>
      <c r="B65" s="40"/>
      <c r="C65" s="40"/>
      <c r="D65" s="40"/>
      <c r="E65" s="40"/>
      <c r="F65" s="40"/>
      <c r="G65" s="40"/>
      <c r="H65" s="40"/>
      <c r="I65" s="40"/>
      <c r="J65" s="40"/>
      <c r="K65" s="40"/>
    </row>
    <row r="66" spans="1:17" s="41" customFormat="1" ht="14.7" thickBot="1" x14ac:dyDescent="0.6">
      <c r="A66" s="88" t="s">
        <v>77</v>
      </c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248" t="s">
        <v>78</v>
      </c>
      <c r="O66" s="249"/>
      <c r="P66" s="249"/>
      <c r="Q66" s="182">
        <v>5</v>
      </c>
    </row>
    <row r="67" spans="1:17" s="41" customFormat="1" x14ac:dyDescent="0.55000000000000004">
      <c r="A67" s="224"/>
      <c r="B67" s="225"/>
      <c r="C67" s="226" t="s">
        <v>68</v>
      </c>
      <c r="D67" s="227"/>
      <c r="E67" s="227"/>
      <c r="F67" s="227"/>
      <c r="G67" s="228"/>
      <c r="H67" s="226" t="s">
        <v>14</v>
      </c>
      <c r="I67" s="227"/>
      <c r="J67" s="227"/>
      <c r="K67" s="227"/>
      <c r="L67" s="229"/>
      <c r="M67" s="226" t="s">
        <v>69</v>
      </c>
      <c r="N67" s="227"/>
      <c r="O67" s="227"/>
      <c r="P67" s="227"/>
      <c r="Q67" s="228"/>
    </row>
    <row r="68" spans="1:17" s="41" customFormat="1" x14ac:dyDescent="0.55000000000000004">
      <c r="A68" s="240" t="s">
        <v>1</v>
      </c>
      <c r="B68" s="241"/>
      <c r="C68" s="81">
        <v>1</v>
      </c>
      <c r="D68" s="82">
        <v>2</v>
      </c>
      <c r="E68" s="82">
        <v>3</v>
      </c>
      <c r="F68" s="82">
        <v>4</v>
      </c>
      <c r="G68" s="83">
        <v>5</v>
      </c>
      <c r="H68" s="81">
        <v>1</v>
      </c>
      <c r="I68" s="82">
        <v>2</v>
      </c>
      <c r="J68" s="82">
        <v>3</v>
      </c>
      <c r="K68" s="82">
        <v>4</v>
      </c>
      <c r="L68" s="74">
        <v>5</v>
      </c>
      <c r="M68" s="81">
        <v>1</v>
      </c>
      <c r="N68" s="82">
        <v>2</v>
      </c>
      <c r="O68" s="82">
        <v>3</v>
      </c>
      <c r="P68" s="82">
        <v>4</v>
      </c>
      <c r="Q68" s="83">
        <v>5</v>
      </c>
    </row>
    <row r="69" spans="1:17" s="41" customFormat="1" ht="15.6" x14ac:dyDescent="0.55000000000000004">
      <c r="A69" s="209" t="s">
        <v>65</v>
      </c>
      <c r="B69" s="84" t="s">
        <v>47</v>
      </c>
      <c r="C69" s="92">
        <f>ROUNDUP(50%*D34,0)</f>
        <v>11</v>
      </c>
      <c r="D69" s="92">
        <f>ROUNDUP(50%*E34,0)</f>
        <v>12</v>
      </c>
      <c r="E69" s="92">
        <f>ROUNDUP(50%*F34,0)</f>
        <v>12</v>
      </c>
      <c r="F69" s="92">
        <f>ROUNDUP(50%*G34,0)</f>
        <v>13</v>
      </c>
      <c r="G69" s="92">
        <f>ROUNDUP(50%*H34,0)</f>
        <v>13</v>
      </c>
      <c r="H69" s="92">
        <f t="shared" ref="H69:L72" si="36">C69*D21</f>
        <v>1890.3277800000001</v>
      </c>
      <c r="I69" s="92">
        <f t="shared" si="36"/>
        <v>2062.1757600000001</v>
      </c>
      <c r="J69" s="92">
        <f t="shared" si="36"/>
        <v>2062.1757600000001</v>
      </c>
      <c r="K69" s="92">
        <f t="shared" si="36"/>
        <v>2234.0237400000001</v>
      </c>
      <c r="L69" s="92">
        <f t="shared" si="36"/>
        <v>2234.0237400000001</v>
      </c>
      <c r="M69" s="92">
        <f>(C69-$L$27)*D21</f>
        <v>-687.39192000000003</v>
      </c>
      <c r="N69" s="92">
        <f>(D69-$L$27)*E21</f>
        <v>-515.54394000000002</v>
      </c>
      <c r="O69" s="92">
        <f>(E69-$L$27)*F21</f>
        <v>-515.54394000000002</v>
      </c>
      <c r="P69" s="92">
        <f>(F69-$L$27)*G21</f>
        <v>-343.69596000000001</v>
      </c>
      <c r="Q69" s="92">
        <f>(G69-$L$27)*H21</f>
        <v>-343.69596000000001</v>
      </c>
    </row>
    <row r="70" spans="1:17" s="41" customFormat="1" ht="15.6" x14ac:dyDescent="0.55000000000000004">
      <c r="A70" s="209"/>
      <c r="B70" s="84" t="s">
        <v>48</v>
      </c>
      <c r="C70" s="92">
        <f>ROUNDDOWN(50%*D34,0)</f>
        <v>11</v>
      </c>
      <c r="D70" s="92">
        <f>ROUNDDOWN(50%*E34,0)</f>
        <v>11</v>
      </c>
      <c r="E70" s="92">
        <f>ROUNDDOWN(50%*F34,0)</f>
        <v>12</v>
      </c>
      <c r="F70" s="92">
        <f>ROUNDDOWN(50%*G34,0)</f>
        <v>12</v>
      </c>
      <c r="G70" s="92">
        <f>ROUNDDOWN(50%*H34,0)</f>
        <v>13</v>
      </c>
      <c r="H70" s="92">
        <f t="shared" si="36"/>
        <v>3058.6864000000005</v>
      </c>
      <c r="I70" s="92">
        <f t="shared" si="36"/>
        <v>3058.6864000000005</v>
      </c>
      <c r="J70" s="92">
        <f t="shared" si="36"/>
        <v>3336.7488000000003</v>
      </c>
      <c r="K70" s="92">
        <f t="shared" si="36"/>
        <v>3336.7488000000003</v>
      </c>
      <c r="L70" s="92">
        <f t="shared" si="36"/>
        <v>3614.8112000000001</v>
      </c>
      <c r="M70" s="92">
        <f>(C70-$L$28)*D22</f>
        <v>3058.6864000000005</v>
      </c>
      <c r="N70" s="92">
        <f>(D70-$L$28)*E22</f>
        <v>3058.6864000000005</v>
      </c>
      <c r="O70" s="92">
        <f>(E70-$L$28)*F22</f>
        <v>3336.7488000000003</v>
      </c>
      <c r="P70" s="92">
        <f>(F70-$L$28)*G22</f>
        <v>3336.7488000000003</v>
      </c>
      <c r="Q70" s="92">
        <f>(G70-$L$28)*H22</f>
        <v>3614.8112000000001</v>
      </c>
    </row>
    <row r="71" spans="1:17" s="41" customFormat="1" ht="15.6" x14ac:dyDescent="0.55000000000000004">
      <c r="A71" s="209" t="s">
        <v>41</v>
      </c>
      <c r="B71" s="84" t="s">
        <v>47</v>
      </c>
      <c r="C71" s="92">
        <f>D38-C72</f>
        <v>12</v>
      </c>
      <c r="D71" s="92">
        <f>E38-D72</f>
        <v>12</v>
      </c>
      <c r="E71" s="92">
        <f>F38-E72</f>
        <v>12</v>
      </c>
      <c r="F71" s="92">
        <f>G38-F72</f>
        <v>12</v>
      </c>
      <c r="G71" s="92">
        <f>H38-G72</f>
        <v>12</v>
      </c>
      <c r="H71" s="92">
        <f t="shared" si="36"/>
        <v>1318.4402399999999</v>
      </c>
      <c r="I71" s="92">
        <f t="shared" si="36"/>
        <v>1318.4402399999999</v>
      </c>
      <c r="J71" s="92">
        <f t="shared" si="36"/>
        <v>1318.4402399999999</v>
      </c>
      <c r="K71" s="92">
        <f t="shared" si="36"/>
        <v>1318.4402399999999</v>
      </c>
      <c r="L71" s="92">
        <f t="shared" si="36"/>
        <v>1318.4402399999999</v>
      </c>
      <c r="M71" s="92">
        <f>(C71-$L$27)*D23</f>
        <v>-329.61005999999998</v>
      </c>
      <c r="N71" s="92">
        <f>(D71-$L$27)*E23</f>
        <v>-329.61005999999998</v>
      </c>
      <c r="O71" s="92">
        <f>(E71-$L$27)*F23</f>
        <v>-329.61005999999998</v>
      </c>
      <c r="P71" s="92">
        <f>(F71-$L$27)*G23</f>
        <v>-329.61005999999998</v>
      </c>
      <c r="Q71" s="92">
        <f>(G71-$L$27)*H23</f>
        <v>-329.61005999999998</v>
      </c>
    </row>
    <row r="72" spans="1:17" s="41" customFormat="1" ht="15.9" thickBot="1" x14ac:dyDescent="0.6">
      <c r="A72" s="223"/>
      <c r="B72" s="91" t="s">
        <v>48</v>
      </c>
      <c r="C72" s="98">
        <f>$Q$66</f>
        <v>5</v>
      </c>
      <c r="D72" s="98">
        <f t="shared" ref="D72:G72" si="37">$Q$66</f>
        <v>5</v>
      </c>
      <c r="E72" s="98">
        <f t="shared" si="37"/>
        <v>5</v>
      </c>
      <c r="F72" s="98">
        <f t="shared" si="37"/>
        <v>5</v>
      </c>
      <c r="G72" s="98">
        <f t="shared" si="37"/>
        <v>5</v>
      </c>
      <c r="H72" s="92">
        <f t="shared" si="36"/>
        <v>888.88800000000003</v>
      </c>
      <c r="I72" s="92">
        <f t="shared" si="36"/>
        <v>888.88800000000003</v>
      </c>
      <c r="J72" s="92">
        <f t="shared" si="36"/>
        <v>888.88800000000003</v>
      </c>
      <c r="K72" s="92">
        <f t="shared" si="36"/>
        <v>888.88800000000003</v>
      </c>
      <c r="L72" s="92">
        <f t="shared" si="36"/>
        <v>888.88800000000003</v>
      </c>
      <c r="M72" s="92">
        <f>(C72-$L$28)*D24</f>
        <v>888.88800000000003</v>
      </c>
      <c r="N72" s="92">
        <f>(D72-$L$28)*E24</f>
        <v>888.88800000000003</v>
      </c>
      <c r="O72" s="92">
        <f>(E72-$L$28)*F24</f>
        <v>888.88800000000003</v>
      </c>
      <c r="P72" s="92">
        <f>(F72-$L$28)*G24</f>
        <v>888.88800000000003</v>
      </c>
      <c r="Q72" s="92">
        <f>(G72-$L$28)*H24</f>
        <v>888.88800000000003</v>
      </c>
    </row>
    <row r="73" spans="1:17" s="41" customFormat="1" ht="15.9" thickTop="1" x14ac:dyDescent="0.6">
      <c r="A73" s="208" t="s">
        <v>72</v>
      </c>
      <c r="B73" s="117" t="s">
        <v>47</v>
      </c>
      <c r="C73" s="112">
        <f>C69*$B$6+C71*$B$7</f>
        <v>11.39</v>
      </c>
      <c r="D73" s="113">
        <f t="shared" ref="D73:G73" si="38">D69*$B$6+D71*$B$7</f>
        <v>12</v>
      </c>
      <c r="E73" s="113">
        <f t="shared" si="38"/>
        <v>12</v>
      </c>
      <c r="F73" s="113">
        <f t="shared" si="38"/>
        <v>12.61</v>
      </c>
      <c r="G73" s="114">
        <f t="shared" si="38"/>
        <v>12.61</v>
      </c>
      <c r="H73" s="104">
        <f>H69+H71</f>
        <v>3208.76802</v>
      </c>
      <c r="I73" s="105">
        <f t="shared" ref="I73:Q73" si="39">I69+I71</f>
        <v>3380.616</v>
      </c>
      <c r="J73" s="105">
        <f t="shared" si="39"/>
        <v>3380.616</v>
      </c>
      <c r="K73" s="105">
        <f t="shared" si="39"/>
        <v>3552.46398</v>
      </c>
      <c r="L73" s="115">
        <f t="shared" si="39"/>
        <v>3552.46398</v>
      </c>
      <c r="M73" s="104">
        <f t="shared" si="39"/>
        <v>-1017.00198</v>
      </c>
      <c r="N73" s="105">
        <f t="shared" si="39"/>
        <v>-845.154</v>
      </c>
      <c r="O73" s="105">
        <f t="shared" si="39"/>
        <v>-845.154</v>
      </c>
      <c r="P73" s="105">
        <f t="shared" si="39"/>
        <v>-673.30601999999999</v>
      </c>
      <c r="Q73" s="106">
        <f t="shared" si="39"/>
        <v>-673.30601999999999</v>
      </c>
    </row>
    <row r="74" spans="1:17" s="41" customFormat="1" ht="15.6" x14ac:dyDescent="0.6">
      <c r="A74" s="209"/>
      <c r="B74" s="84" t="s">
        <v>48</v>
      </c>
      <c r="C74" s="112">
        <f>C70*$B$6+C72*$B$7</f>
        <v>8.66</v>
      </c>
      <c r="D74" s="113">
        <f t="shared" ref="D74:G74" si="40">D70*$B$6+D72*$B$7</f>
        <v>8.66</v>
      </c>
      <c r="E74" s="113">
        <f t="shared" si="40"/>
        <v>9.27</v>
      </c>
      <c r="F74" s="113">
        <f t="shared" si="40"/>
        <v>9.27</v>
      </c>
      <c r="G74" s="114">
        <f t="shared" si="40"/>
        <v>9.879999999999999</v>
      </c>
      <c r="H74" s="108">
        <f>H70+H72</f>
        <v>3947.5744000000004</v>
      </c>
      <c r="I74" s="109">
        <f t="shared" ref="I74:Q74" si="41">I70+I72</f>
        <v>3947.5744000000004</v>
      </c>
      <c r="J74" s="109">
        <f t="shared" si="41"/>
        <v>4225.6368000000002</v>
      </c>
      <c r="K74" s="109">
        <f t="shared" si="41"/>
        <v>4225.6368000000002</v>
      </c>
      <c r="L74" s="116">
        <f t="shared" si="41"/>
        <v>4503.6992</v>
      </c>
      <c r="M74" s="108">
        <f t="shared" si="41"/>
        <v>3947.5744000000004</v>
      </c>
      <c r="N74" s="109">
        <f t="shared" si="41"/>
        <v>3947.5744000000004</v>
      </c>
      <c r="O74" s="109">
        <f t="shared" si="41"/>
        <v>4225.6368000000002</v>
      </c>
      <c r="P74" s="109">
        <f t="shared" si="41"/>
        <v>4225.6368000000002</v>
      </c>
      <c r="Q74" s="110">
        <f t="shared" si="41"/>
        <v>4503.6992</v>
      </c>
    </row>
    <row r="75" spans="1:17" s="41" customFormat="1" ht="15.9" thickBot="1" x14ac:dyDescent="0.65">
      <c r="A75" s="210" t="s">
        <v>71</v>
      </c>
      <c r="B75" s="211"/>
      <c r="C75" s="129">
        <f>SUM(C73:C74)</f>
        <v>20.05</v>
      </c>
      <c r="D75" s="129">
        <f t="shared" ref="D75" si="42">SUM(D73:D74)</f>
        <v>20.66</v>
      </c>
      <c r="E75" s="129">
        <f t="shared" ref="E75" si="43">SUM(E73:E74)</f>
        <v>21.27</v>
      </c>
      <c r="F75" s="129">
        <f t="shared" ref="F75" si="44">SUM(F73:F74)</f>
        <v>21.88</v>
      </c>
      <c r="G75" s="129">
        <f t="shared" ref="G75" si="45">SUM(G73:G74)</f>
        <v>22.49</v>
      </c>
      <c r="H75" s="130">
        <f>SUM(H73:H74)</f>
        <v>7156.3424200000009</v>
      </c>
      <c r="I75" s="131">
        <f t="shared" ref="I75" si="46">SUM(I73:I74)</f>
        <v>7328.1904000000004</v>
      </c>
      <c r="J75" s="131">
        <f t="shared" ref="J75" si="47">SUM(J73:J74)</f>
        <v>7606.2528000000002</v>
      </c>
      <c r="K75" s="131">
        <f t="shared" ref="K75" si="48">SUM(K73:K74)</f>
        <v>7778.1007800000007</v>
      </c>
      <c r="L75" s="132">
        <f t="shared" ref="L75" si="49">SUM(L73:L74)</f>
        <v>8056.1631799999996</v>
      </c>
      <c r="M75" s="130">
        <f t="shared" ref="M75" si="50">SUM(M73:M74)</f>
        <v>2930.5724200000004</v>
      </c>
      <c r="N75" s="131">
        <f t="shared" ref="N75" si="51">SUM(N73:N74)</f>
        <v>3102.4204000000004</v>
      </c>
      <c r="O75" s="131">
        <f t="shared" ref="O75" si="52">SUM(O73:O74)</f>
        <v>3380.4828000000002</v>
      </c>
      <c r="P75" s="131">
        <f t="shared" ref="P75" si="53">SUM(P73:P74)</f>
        <v>3552.3307800000002</v>
      </c>
      <c r="Q75" s="133">
        <f t="shared" ref="Q75" si="54">SUM(Q73:Q74)</f>
        <v>3830.39318</v>
      </c>
    </row>
    <row r="76" spans="1:17" s="41" customFormat="1" ht="15.6" x14ac:dyDescent="0.6">
      <c r="A76" s="80"/>
      <c r="B76" s="40"/>
      <c r="C76" s="40"/>
      <c r="D76" s="40"/>
      <c r="E76" s="40"/>
      <c r="F76" s="40"/>
      <c r="G76" s="40"/>
      <c r="H76" s="40"/>
      <c r="I76" s="40"/>
      <c r="J76" s="40"/>
      <c r="K76" s="40"/>
    </row>
    <row r="77" spans="1:17" s="3" customFormat="1" ht="16.8" customHeight="1" thickBot="1" x14ac:dyDescent="0.6">
      <c r="A77"/>
      <c r="B77"/>
      <c r="C77"/>
      <c r="D77"/>
      <c r="E77"/>
      <c r="F77"/>
      <c r="G77"/>
      <c r="H77"/>
      <c r="I77"/>
      <c r="J77"/>
      <c r="K77"/>
    </row>
    <row r="78" spans="1:17" s="3" customFormat="1" ht="20.399999999999999" customHeight="1" thickBot="1" x14ac:dyDescent="0.6">
      <c r="A78" s="121" t="s">
        <v>40</v>
      </c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3"/>
    </row>
    <row r="79" spans="1:17" s="3" customFormat="1" ht="20.399999999999999" customHeight="1" thickBot="1" x14ac:dyDescent="0.6">
      <c r="A79" s="118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</row>
    <row r="80" spans="1:17" s="148" customFormat="1" ht="20.399999999999999" customHeight="1" thickBot="1" x14ac:dyDescent="0.6">
      <c r="A80" s="145" t="s">
        <v>81</v>
      </c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7"/>
    </row>
    <row r="81" spans="1:17" s="148" customFormat="1" ht="20.399999999999999" customHeight="1" x14ac:dyDescent="0.55000000000000004">
      <c r="A81" s="250"/>
      <c r="B81" s="251"/>
      <c r="C81" s="252" t="s">
        <v>68</v>
      </c>
      <c r="D81" s="253"/>
      <c r="E81" s="253"/>
      <c r="F81" s="253"/>
      <c r="G81" s="254"/>
      <c r="H81" s="252" t="s">
        <v>14</v>
      </c>
      <c r="I81" s="253"/>
      <c r="J81" s="253"/>
      <c r="K81" s="253"/>
      <c r="L81" s="254"/>
      <c r="M81" s="255" t="s">
        <v>69</v>
      </c>
      <c r="N81" s="253"/>
      <c r="O81" s="253"/>
      <c r="P81" s="253"/>
      <c r="Q81" s="254"/>
    </row>
    <row r="82" spans="1:17" s="148" customFormat="1" ht="20.399999999999999" customHeight="1" x14ac:dyDescent="0.55000000000000004">
      <c r="A82" s="230" t="s">
        <v>1</v>
      </c>
      <c r="B82" s="231"/>
      <c r="C82" s="149">
        <v>1</v>
      </c>
      <c r="D82" s="150">
        <v>2</v>
      </c>
      <c r="E82" s="150">
        <v>3</v>
      </c>
      <c r="F82" s="150">
        <v>4</v>
      </c>
      <c r="G82" s="151">
        <v>5</v>
      </c>
      <c r="H82" s="149">
        <v>1</v>
      </c>
      <c r="I82" s="150">
        <v>2</v>
      </c>
      <c r="J82" s="150">
        <v>3</v>
      </c>
      <c r="K82" s="150">
        <v>4</v>
      </c>
      <c r="L82" s="151">
        <v>5</v>
      </c>
      <c r="M82" s="152">
        <v>1</v>
      </c>
      <c r="N82" s="150">
        <v>2</v>
      </c>
      <c r="O82" s="150">
        <v>3</v>
      </c>
      <c r="P82" s="150">
        <v>4</v>
      </c>
      <c r="Q82" s="151">
        <v>5</v>
      </c>
    </row>
    <row r="83" spans="1:17" s="148" customFormat="1" ht="17.399999999999999" customHeight="1" x14ac:dyDescent="0.6">
      <c r="A83" s="208" t="s">
        <v>79</v>
      </c>
      <c r="B83" s="117" t="s">
        <v>47</v>
      </c>
      <c r="C83" s="112">
        <f>C51</f>
        <v>15</v>
      </c>
      <c r="D83" s="112">
        <f t="shared" ref="D83:Q83" si="55">D51</f>
        <v>15</v>
      </c>
      <c r="E83" s="112">
        <f t="shared" si="55"/>
        <v>15</v>
      </c>
      <c r="F83" s="112">
        <f t="shared" si="55"/>
        <v>15</v>
      </c>
      <c r="G83" s="112">
        <f t="shared" si="55"/>
        <v>15</v>
      </c>
      <c r="H83" s="104">
        <f t="shared" si="55"/>
        <v>4225.7700000000004</v>
      </c>
      <c r="I83" s="104">
        <f t="shared" si="55"/>
        <v>4225.7700000000004</v>
      </c>
      <c r="J83" s="104">
        <f t="shared" si="55"/>
        <v>4225.7700000000004</v>
      </c>
      <c r="K83" s="104">
        <f t="shared" si="55"/>
        <v>4225.7700000000004</v>
      </c>
      <c r="L83" s="104">
        <f t="shared" si="55"/>
        <v>4225.7700000000004</v>
      </c>
      <c r="M83" s="104">
        <f>M51</f>
        <v>0</v>
      </c>
      <c r="N83" s="104">
        <f t="shared" si="55"/>
        <v>0</v>
      </c>
      <c r="O83" s="104">
        <f t="shared" si="55"/>
        <v>0</v>
      </c>
      <c r="P83" s="104">
        <f t="shared" si="55"/>
        <v>0</v>
      </c>
      <c r="Q83" s="181">
        <f t="shared" si="55"/>
        <v>0</v>
      </c>
    </row>
    <row r="84" spans="1:17" s="140" customFormat="1" ht="13.5" customHeight="1" x14ac:dyDescent="0.6">
      <c r="A84" s="209"/>
      <c r="B84" s="84" t="s">
        <v>48</v>
      </c>
      <c r="C84" s="112">
        <f>C52</f>
        <v>2</v>
      </c>
      <c r="D84" s="112">
        <f t="shared" ref="D84:Q84" si="56">D52</f>
        <v>2</v>
      </c>
      <c r="E84" s="112">
        <f t="shared" si="56"/>
        <v>2</v>
      </c>
      <c r="F84" s="112">
        <f t="shared" si="56"/>
        <v>2</v>
      </c>
      <c r="G84" s="112">
        <f t="shared" si="56"/>
        <v>2</v>
      </c>
      <c r="H84" s="104">
        <f t="shared" si="56"/>
        <v>911.68000000000006</v>
      </c>
      <c r="I84" s="104">
        <f t="shared" si="56"/>
        <v>911.68000000000006</v>
      </c>
      <c r="J84" s="104">
        <f t="shared" si="56"/>
        <v>911.68000000000006</v>
      </c>
      <c r="K84" s="104">
        <f t="shared" si="56"/>
        <v>911.68000000000006</v>
      </c>
      <c r="L84" s="104">
        <f t="shared" si="56"/>
        <v>911.68000000000006</v>
      </c>
      <c r="M84" s="104">
        <f t="shared" si="56"/>
        <v>911.68000000000006</v>
      </c>
      <c r="N84" s="104">
        <f t="shared" si="56"/>
        <v>911.68000000000006</v>
      </c>
      <c r="O84" s="104">
        <f t="shared" si="56"/>
        <v>911.68000000000006</v>
      </c>
      <c r="P84" s="104">
        <f t="shared" si="56"/>
        <v>911.68000000000006</v>
      </c>
      <c r="Q84" s="181">
        <f t="shared" si="56"/>
        <v>911.68000000000006</v>
      </c>
    </row>
    <row r="85" spans="1:17" s="140" customFormat="1" ht="15.9" thickBot="1" x14ac:dyDescent="0.65">
      <c r="A85" s="210" t="s">
        <v>71</v>
      </c>
      <c r="B85" s="211"/>
      <c r="C85" s="129">
        <f>SUM(C83:C84)</f>
        <v>17</v>
      </c>
      <c r="D85" s="129">
        <f t="shared" ref="D85:G85" si="57">SUM(D83:D84)</f>
        <v>17</v>
      </c>
      <c r="E85" s="129">
        <f t="shared" si="57"/>
        <v>17</v>
      </c>
      <c r="F85" s="129">
        <f t="shared" si="57"/>
        <v>17</v>
      </c>
      <c r="G85" s="129">
        <f t="shared" si="57"/>
        <v>17</v>
      </c>
      <c r="H85" s="130">
        <f>SUM(H83:H84)</f>
        <v>5137.4500000000007</v>
      </c>
      <c r="I85" s="131">
        <f t="shared" ref="I85:Q85" si="58">SUM(I83:I84)</f>
        <v>5137.4500000000007</v>
      </c>
      <c r="J85" s="131">
        <f t="shared" si="58"/>
        <v>5137.4500000000007</v>
      </c>
      <c r="K85" s="131">
        <f t="shared" si="58"/>
        <v>5137.4500000000007</v>
      </c>
      <c r="L85" s="132">
        <f t="shared" si="58"/>
        <v>5137.4500000000007</v>
      </c>
      <c r="M85" s="130">
        <f t="shared" si="58"/>
        <v>911.68000000000006</v>
      </c>
      <c r="N85" s="131">
        <f t="shared" si="58"/>
        <v>911.68000000000006</v>
      </c>
      <c r="O85" s="131">
        <f t="shared" si="58"/>
        <v>911.68000000000006</v>
      </c>
      <c r="P85" s="131">
        <f t="shared" si="58"/>
        <v>911.68000000000006</v>
      </c>
      <c r="Q85" s="133">
        <f t="shared" si="58"/>
        <v>911.68000000000006</v>
      </c>
    </row>
    <row r="86" spans="1:17" s="140" customFormat="1" ht="15.6" x14ac:dyDescent="0.6">
      <c r="A86" s="208" t="s">
        <v>93</v>
      </c>
      <c r="B86" s="117" t="s">
        <v>47</v>
      </c>
      <c r="C86" s="112">
        <f>C62</f>
        <v>15</v>
      </c>
      <c r="D86" s="112">
        <f t="shared" ref="D86:Q86" si="59">D62</f>
        <v>15</v>
      </c>
      <c r="E86" s="112">
        <f t="shared" si="59"/>
        <v>15</v>
      </c>
      <c r="F86" s="112">
        <f t="shared" si="59"/>
        <v>15</v>
      </c>
      <c r="G86" s="112">
        <f t="shared" si="59"/>
        <v>15</v>
      </c>
      <c r="H86" s="104">
        <f t="shared" si="59"/>
        <v>4225.7700000000004</v>
      </c>
      <c r="I86" s="104">
        <f t="shared" si="59"/>
        <v>4225.7700000000004</v>
      </c>
      <c r="J86" s="104">
        <f t="shared" si="59"/>
        <v>4225.7700000000004</v>
      </c>
      <c r="K86" s="104">
        <f t="shared" si="59"/>
        <v>4225.7700000000004</v>
      </c>
      <c r="L86" s="104">
        <f t="shared" si="59"/>
        <v>4225.7700000000004</v>
      </c>
      <c r="M86" s="104">
        <f t="shared" si="59"/>
        <v>0</v>
      </c>
      <c r="N86" s="104">
        <f t="shared" si="59"/>
        <v>0</v>
      </c>
      <c r="O86" s="104">
        <f t="shared" si="59"/>
        <v>0</v>
      </c>
      <c r="P86" s="104">
        <f t="shared" si="59"/>
        <v>0</v>
      </c>
      <c r="Q86" s="181">
        <f t="shared" si="59"/>
        <v>0</v>
      </c>
    </row>
    <row r="87" spans="1:17" s="140" customFormat="1" ht="15.6" x14ac:dyDescent="0.6">
      <c r="A87" s="209"/>
      <c r="B87" s="84" t="s">
        <v>48</v>
      </c>
      <c r="C87" s="112">
        <f>C63</f>
        <v>3.2199999999999998</v>
      </c>
      <c r="D87" s="112">
        <f t="shared" ref="D87:Q87" si="60">D63</f>
        <v>3.2199999999999998</v>
      </c>
      <c r="E87" s="112">
        <f t="shared" si="60"/>
        <v>3.83</v>
      </c>
      <c r="F87" s="112">
        <f t="shared" si="60"/>
        <v>3.83</v>
      </c>
      <c r="G87" s="112">
        <f t="shared" si="60"/>
        <v>4.4400000000000004</v>
      </c>
      <c r="H87" s="104">
        <f t="shared" si="60"/>
        <v>1467.8048000000001</v>
      </c>
      <c r="I87" s="104">
        <f t="shared" si="60"/>
        <v>1467.8048000000001</v>
      </c>
      <c r="J87" s="104">
        <f t="shared" si="60"/>
        <v>1745.8672000000001</v>
      </c>
      <c r="K87" s="104">
        <f t="shared" si="60"/>
        <v>1745.8672000000001</v>
      </c>
      <c r="L87" s="104">
        <f t="shared" si="60"/>
        <v>2023.9296000000002</v>
      </c>
      <c r="M87" s="104">
        <f t="shared" si="60"/>
        <v>1467.8048000000001</v>
      </c>
      <c r="N87" s="104">
        <f t="shared" si="60"/>
        <v>1467.8048000000001</v>
      </c>
      <c r="O87" s="104">
        <f t="shared" si="60"/>
        <v>1745.8672000000001</v>
      </c>
      <c r="P87" s="104">
        <f t="shared" si="60"/>
        <v>1745.8672000000001</v>
      </c>
      <c r="Q87" s="181">
        <f t="shared" si="60"/>
        <v>2023.9296000000002</v>
      </c>
    </row>
    <row r="88" spans="1:17" s="140" customFormat="1" ht="15.9" thickBot="1" x14ac:dyDescent="0.65">
      <c r="A88" s="210" t="s">
        <v>71</v>
      </c>
      <c r="B88" s="211"/>
      <c r="C88" s="129">
        <f>SUM(C86:C87)</f>
        <v>18.22</v>
      </c>
      <c r="D88" s="129">
        <f t="shared" ref="D88:G88" si="61">SUM(D86:D87)</f>
        <v>18.22</v>
      </c>
      <c r="E88" s="129">
        <f t="shared" si="61"/>
        <v>18.829999999999998</v>
      </c>
      <c r="F88" s="129">
        <f t="shared" si="61"/>
        <v>18.829999999999998</v>
      </c>
      <c r="G88" s="129">
        <f t="shared" si="61"/>
        <v>19.440000000000001</v>
      </c>
      <c r="H88" s="130">
        <f>SUM(H86:H87)</f>
        <v>5693.5748000000003</v>
      </c>
      <c r="I88" s="131">
        <f t="shared" ref="I88:Q88" si="62">SUM(I86:I87)</f>
        <v>5693.5748000000003</v>
      </c>
      <c r="J88" s="131">
        <f t="shared" si="62"/>
        <v>5971.637200000001</v>
      </c>
      <c r="K88" s="131">
        <f t="shared" si="62"/>
        <v>5971.637200000001</v>
      </c>
      <c r="L88" s="132">
        <f t="shared" si="62"/>
        <v>6249.6996000000008</v>
      </c>
      <c r="M88" s="130">
        <f t="shared" si="62"/>
        <v>1467.8048000000001</v>
      </c>
      <c r="N88" s="131">
        <f t="shared" si="62"/>
        <v>1467.8048000000001</v>
      </c>
      <c r="O88" s="131">
        <f t="shared" si="62"/>
        <v>1745.8672000000001</v>
      </c>
      <c r="P88" s="131">
        <f t="shared" si="62"/>
        <v>1745.8672000000001</v>
      </c>
      <c r="Q88" s="133">
        <f t="shared" si="62"/>
        <v>2023.9296000000002</v>
      </c>
    </row>
    <row r="89" spans="1:17" s="140" customFormat="1" ht="15.6" x14ac:dyDescent="0.6">
      <c r="A89" s="208" t="s">
        <v>80</v>
      </c>
      <c r="B89" s="117" t="s">
        <v>47</v>
      </c>
      <c r="C89" s="112">
        <f>C73</f>
        <v>11.39</v>
      </c>
      <c r="D89" s="112">
        <f t="shared" ref="D89:Q89" si="63">D73</f>
        <v>12</v>
      </c>
      <c r="E89" s="112">
        <f t="shared" si="63"/>
        <v>12</v>
      </c>
      <c r="F89" s="112">
        <f t="shared" si="63"/>
        <v>12.61</v>
      </c>
      <c r="G89" s="112">
        <f t="shared" si="63"/>
        <v>12.61</v>
      </c>
      <c r="H89" s="104">
        <f t="shared" si="63"/>
        <v>3208.76802</v>
      </c>
      <c r="I89" s="104">
        <f t="shared" si="63"/>
        <v>3380.616</v>
      </c>
      <c r="J89" s="104">
        <f t="shared" si="63"/>
        <v>3380.616</v>
      </c>
      <c r="K89" s="104">
        <f t="shared" si="63"/>
        <v>3552.46398</v>
      </c>
      <c r="L89" s="104">
        <f t="shared" si="63"/>
        <v>3552.46398</v>
      </c>
      <c r="M89" s="104">
        <f t="shared" si="63"/>
        <v>-1017.00198</v>
      </c>
      <c r="N89" s="104">
        <f t="shared" si="63"/>
        <v>-845.154</v>
      </c>
      <c r="O89" s="104">
        <f t="shared" si="63"/>
        <v>-845.154</v>
      </c>
      <c r="P89" s="104">
        <f t="shared" si="63"/>
        <v>-673.30601999999999</v>
      </c>
      <c r="Q89" s="181">
        <f t="shared" si="63"/>
        <v>-673.30601999999999</v>
      </c>
    </row>
    <row r="90" spans="1:17" s="140" customFormat="1" ht="15.6" x14ac:dyDescent="0.6">
      <c r="A90" s="209"/>
      <c r="B90" s="84" t="s">
        <v>48</v>
      </c>
      <c r="C90" s="112">
        <f>C74</f>
        <v>8.66</v>
      </c>
      <c r="D90" s="112">
        <f t="shared" ref="D90:Q90" si="64">D74</f>
        <v>8.66</v>
      </c>
      <c r="E90" s="112">
        <f t="shared" si="64"/>
        <v>9.27</v>
      </c>
      <c r="F90" s="112">
        <f t="shared" si="64"/>
        <v>9.27</v>
      </c>
      <c r="G90" s="112">
        <f t="shared" si="64"/>
        <v>9.879999999999999</v>
      </c>
      <c r="H90" s="104">
        <f t="shared" si="64"/>
        <v>3947.5744000000004</v>
      </c>
      <c r="I90" s="104">
        <f t="shared" si="64"/>
        <v>3947.5744000000004</v>
      </c>
      <c r="J90" s="104">
        <f t="shared" si="64"/>
        <v>4225.6368000000002</v>
      </c>
      <c r="K90" s="104">
        <f t="shared" si="64"/>
        <v>4225.6368000000002</v>
      </c>
      <c r="L90" s="104">
        <f t="shared" si="64"/>
        <v>4503.6992</v>
      </c>
      <c r="M90" s="104">
        <f t="shared" si="64"/>
        <v>3947.5744000000004</v>
      </c>
      <c r="N90" s="104">
        <f t="shared" si="64"/>
        <v>3947.5744000000004</v>
      </c>
      <c r="O90" s="104">
        <f t="shared" si="64"/>
        <v>4225.6368000000002</v>
      </c>
      <c r="P90" s="104">
        <f t="shared" si="64"/>
        <v>4225.6368000000002</v>
      </c>
      <c r="Q90" s="181">
        <f t="shared" si="64"/>
        <v>4503.6992</v>
      </c>
    </row>
    <row r="91" spans="1:17" s="140" customFormat="1" ht="15.9" thickBot="1" x14ac:dyDescent="0.65">
      <c r="A91" s="210" t="s">
        <v>71</v>
      </c>
      <c r="B91" s="211"/>
      <c r="C91" s="129">
        <f>SUM(C89:C90)</f>
        <v>20.05</v>
      </c>
      <c r="D91" s="129">
        <f t="shared" ref="D91:G91" si="65">SUM(D89:D90)</f>
        <v>20.66</v>
      </c>
      <c r="E91" s="129">
        <f t="shared" si="65"/>
        <v>21.27</v>
      </c>
      <c r="F91" s="129">
        <f t="shared" si="65"/>
        <v>21.88</v>
      </c>
      <c r="G91" s="129">
        <f t="shared" si="65"/>
        <v>22.49</v>
      </c>
      <c r="H91" s="130">
        <f>SUM(H89:H90)</f>
        <v>7156.3424200000009</v>
      </c>
      <c r="I91" s="131">
        <f t="shared" ref="I91:Q91" si="66">SUM(I89:I90)</f>
        <v>7328.1904000000004</v>
      </c>
      <c r="J91" s="131">
        <f t="shared" si="66"/>
        <v>7606.2528000000002</v>
      </c>
      <c r="K91" s="131">
        <f t="shared" si="66"/>
        <v>7778.1007800000007</v>
      </c>
      <c r="L91" s="132">
        <f t="shared" si="66"/>
        <v>8056.1631799999996</v>
      </c>
      <c r="M91" s="130">
        <f t="shared" si="66"/>
        <v>2930.5724200000004</v>
      </c>
      <c r="N91" s="131">
        <f t="shared" si="66"/>
        <v>3102.4204000000004</v>
      </c>
      <c r="O91" s="131">
        <f t="shared" si="66"/>
        <v>3380.4828000000002</v>
      </c>
      <c r="P91" s="131">
        <f t="shared" si="66"/>
        <v>3552.3307800000002</v>
      </c>
      <c r="Q91" s="133">
        <f t="shared" si="66"/>
        <v>3830.39318</v>
      </c>
    </row>
    <row r="92" spans="1:17" ht="15.9" thickBot="1" x14ac:dyDescent="0.6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8"/>
    </row>
    <row r="93" spans="1:17" ht="15.9" thickBot="1" x14ac:dyDescent="0.65">
      <c r="A93" s="145" t="s">
        <v>87</v>
      </c>
      <c r="B93" s="146"/>
      <c r="C93" s="146"/>
      <c r="D93" s="147"/>
      <c r="E93" s="59"/>
      <c r="F93" s="59"/>
      <c r="G93" s="59"/>
      <c r="H93" s="59"/>
      <c r="I93" s="59"/>
      <c r="J93" s="59"/>
      <c r="K93" s="57"/>
    </row>
    <row r="94" spans="1:17" s="140" customFormat="1" x14ac:dyDescent="0.55000000000000004">
      <c r="A94" s="153"/>
      <c r="B94" s="154" t="s">
        <v>89</v>
      </c>
      <c r="C94" s="154" t="s">
        <v>90</v>
      </c>
      <c r="D94" s="155" t="s">
        <v>91</v>
      </c>
    </row>
    <row r="95" spans="1:17" s="140" customFormat="1" ht="15.6" x14ac:dyDescent="0.55000000000000004">
      <c r="A95" s="156" t="s">
        <v>84</v>
      </c>
      <c r="B95" s="134">
        <v>0.85</v>
      </c>
      <c r="C95" s="134">
        <v>0.8</v>
      </c>
      <c r="D95" s="135">
        <v>0.7</v>
      </c>
    </row>
    <row r="96" spans="1:17" s="140" customFormat="1" ht="15.6" x14ac:dyDescent="0.55000000000000004">
      <c r="A96" s="156" t="s">
        <v>85</v>
      </c>
      <c r="B96" s="134">
        <v>0.1</v>
      </c>
      <c r="C96" s="134">
        <v>0.15</v>
      </c>
      <c r="D96" s="135">
        <v>0.2</v>
      </c>
    </row>
    <row r="97" spans="1:17" s="140" customFormat="1" ht="15.9" thickBot="1" x14ac:dyDescent="0.6">
      <c r="A97" s="157" t="s">
        <v>86</v>
      </c>
      <c r="B97" s="136">
        <v>0.05</v>
      </c>
      <c r="C97" s="136">
        <v>0.05</v>
      </c>
      <c r="D97" s="137">
        <v>0.1</v>
      </c>
    </row>
    <row r="98" spans="1:17" s="3" customFormat="1" ht="14.7" thickBot="1" x14ac:dyDescent="0.6">
      <c r="A98" s="119"/>
      <c r="B98" s="120"/>
      <c r="C98" s="120"/>
      <c r="D98" s="120"/>
    </row>
    <row r="99" spans="1:17" s="3" customFormat="1" ht="14.7" thickBot="1" x14ac:dyDescent="0.6">
      <c r="A99" s="256" t="s">
        <v>92</v>
      </c>
      <c r="B99" s="257"/>
      <c r="C99" s="257"/>
      <c r="D99" s="257"/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7"/>
      <c r="P99" s="257"/>
      <c r="Q99" s="258"/>
    </row>
    <row r="100" spans="1:17" s="3" customFormat="1" x14ac:dyDescent="0.55000000000000004">
      <c r="A100" s="250"/>
      <c r="B100" s="251"/>
      <c r="C100" s="252" t="s">
        <v>68</v>
      </c>
      <c r="D100" s="253"/>
      <c r="E100" s="253"/>
      <c r="F100" s="253"/>
      <c r="G100" s="254"/>
      <c r="H100" s="252" t="s">
        <v>14</v>
      </c>
      <c r="I100" s="253"/>
      <c r="J100" s="253"/>
      <c r="K100" s="253"/>
      <c r="L100" s="254"/>
      <c r="M100" s="255" t="s">
        <v>69</v>
      </c>
      <c r="N100" s="253"/>
      <c r="O100" s="253"/>
      <c r="P100" s="253"/>
      <c r="Q100" s="254"/>
    </row>
    <row r="101" spans="1:17" s="3" customFormat="1" x14ac:dyDescent="0.55000000000000004">
      <c r="A101" s="230" t="s">
        <v>1</v>
      </c>
      <c r="B101" s="231"/>
      <c r="C101" s="149">
        <v>1</v>
      </c>
      <c r="D101" s="150">
        <v>2</v>
      </c>
      <c r="E101" s="150">
        <v>3</v>
      </c>
      <c r="F101" s="150">
        <v>4</v>
      </c>
      <c r="G101" s="151">
        <v>5</v>
      </c>
      <c r="H101" s="149">
        <v>1</v>
      </c>
      <c r="I101" s="150">
        <v>2</v>
      </c>
      <c r="J101" s="150">
        <v>3</v>
      </c>
      <c r="K101" s="150">
        <v>4</v>
      </c>
      <c r="L101" s="151">
        <v>5</v>
      </c>
      <c r="M101" s="152">
        <v>1</v>
      </c>
      <c r="N101" s="150">
        <v>2</v>
      </c>
      <c r="O101" s="150">
        <v>3</v>
      </c>
      <c r="P101" s="150">
        <v>4</v>
      </c>
      <c r="Q101" s="151">
        <v>5</v>
      </c>
    </row>
    <row r="102" spans="1:17" s="3" customFormat="1" ht="15.6" x14ac:dyDescent="0.6">
      <c r="A102" s="208" t="s">
        <v>89</v>
      </c>
      <c r="B102" s="117" t="s">
        <v>47</v>
      </c>
      <c r="C102" s="169">
        <f>$B$95*C83+$B$96*C86+$B$97*C89</f>
        <v>14.8195</v>
      </c>
      <c r="D102" s="169">
        <f t="shared" ref="D102:Q102" si="67">$B$95*D83+$B$96*D86+$B$97*D89</f>
        <v>14.85</v>
      </c>
      <c r="E102" s="112">
        <f t="shared" si="67"/>
        <v>14.85</v>
      </c>
      <c r="F102" s="112">
        <f t="shared" si="67"/>
        <v>14.8805</v>
      </c>
      <c r="G102" s="112">
        <f t="shared" si="67"/>
        <v>14.8805</v>
      </c>
      <c r="H102" s="170">
        <f t="shared" si="67"/>
        <v>4174.9199010000002</v>
      </c>
      <c r="I102" s="170">
        <f t="shared" si="67"/>
        <v>4183.5123000000003</v>
      </c>
      <c r="J102" s="104">
        <f t="shared" si="67"/>
        <v>4183.5123000000003</v>
      </c>
      <c r="K102" s="104">
        <f t="shared" si="67"/>
        <v>4192.1046990000004</v>
      </c>
      <c r="L102" s="104">
        <f t="shared" si="67"/>
        <v>4192.1046990000004</v>
      </c>
      <c r="M102" s="170">
        <f>$B$95*M83+$B$96*M86+$B$97*M89</f>
        <v>-50.850099</v>
      </c>
      <c r="N102" s="170">
        <f>$B$95*N83+$B$96*N86+$B$97*N89</f>
        <v>-42.2577</v>
      </c>
      <c r="O102" s="104">
        <f t="shared" si="67"/>
        <v>-42.2577</v>
      </c>
      <c r="P102" s="104">
        <f t="shared" si="67"/>
        <v>-33.665300999999999</v>
      </c>
      <c r="Q102" s="104">
        <f t="shared" si="67"/>
        <v>-33.665300999999999</v>
      </c>
    </row>
    <row r="103" spans="1:17" s="3" customFormat="1" ht="15.6" x14ac:dyDescent="0.6">
      <c r="A103" s="209"/>
      <c r="B103" s="84" t="s">
        <v>48</v>
      </c>
      <c r="C103" s="169">
        <f>$B$95*C84+$B$96*C87+$B$97*C90</f>
        <v>2.4550000000000001</v>
      </c>
      <c r="D103" s="169">
        <f t="shared" ref="D103:Q103" si="68">$B$95*D84+$B$96*D87+$B$97*D90</f>
        <v>2.4550000000000001</v>
      </c>
      <c r="E103" s="112">
        <f t="shared" si="68"/>
        <v>2.5465</v>
      </c>
      <c r="F103" s="112">
        <f t="shared" si="68"/>
        <v>2.5465</v>
      </c>
      <c r="G103" s="112">
        <f t="shared" si="68"/>
        <v>2.6379999999999999</v>
      </c>
      <c r="H103" s="170">
        <f t="shared" si="68"/>
        <v>1119.0871999999999</v>
      </c>
      <c r="I103" s="170">
        <f t="shared" si="68"/>
        <v>1119.0871999999999</v>
      </c>
      <c r="J103" s="104">
        <f t="shared" si="68"/>
        <v>1160.79656</v>
      </c>
      <c r="K103" s="104">
        <f t="shared" si="68"/>
        <v>1160.79656</v>
      </c>
      <c r="L103" s="104">
        <f t="shared" si="68"/>
        <v>1202.5059200000001</v>
      </c>
      <c r="M103" s="170">
        <f>$B$95*M84+$B$96*M87+$B$97*M90</f>
        <v>1119.0871999999999</v>
      </c>
      <c r="N103" s="170">
        <f t="shared" si="68"/>
        <v>1119.0871999999999</v>
      </c>
      <c r="O103" s="104">
        <f t="shared" si="68"/>
        <v>1160.79656</v>
      </c>
      <c r="P103" s="104">
        <f t="shared" si="68"/>
        <v>1160.79656</v>
      </c>
      <c r="Q103" s="104">
        <f t="shared" si="68"/>
        <v>1202.5059200000001</v>
      </c>
    </row>
    <row r="104" spans="1:17" s="3" customFormat="1" ht="15.9" thickBot="1" x14ac:dyDescent="0.65">
      <c r="A104" s="210" t="s">
        <v>71</v>
      </c>
      <c r="B104" s="211"/>
      <c r="C104" s="129">
        <f>SUM(C102:C103)</f>
        <v>17.2745</v>
      </c>
      <c r="D104" s="129">
        <f t="shared" ref="D104:G104" si="69">SUM(D102:D103)</f>
        <v>17.305</v>
      </c>
      <c r="E104" s="129">
        <f t="shared" si="69"/>
        <v>17.3965</v>
      </c>
      <c r="F104" s="129">
        <f t="shared" si="69"/>
        <v>17.427</v>
      </c>
      <c r="G104" s="129">
        <f t="shared" si="69"/>
        <v>17.5185</v>
      </c>
      <c r="H104" s="130">
        <f>SUM(H102:H103)</f>
        <v>5294.0071010000001</v>
      </c>
      <c r="I104" s="131">
        <f t="shared" ref="I104:Q104" si="70">SUM(I102:I103)</f>
        <v>5302.5995000000003</v>
      </c>
      <c r="J104" s="131">
        <f t="shared" si="70"/>
        <v>5344.3088600000001</v>
      </c>
      <c r="K104" s="131">
        <f t="shared" si="70"/>
        <v>5352.9012590000002</v>
      </c>
      <c r="L104" s="132">
        <f t="shared" si="70"/>
        <v>5394.610619000001</v>
      </c>
      <c r="M104" s="130">
        <f t="shared" si="70"/>
        <v>1068.2371009999999</v>
      </c>
      <c r="N104" s="131">
        <f t="shared" si="70"/>
        <v>1076.8294999999998</v>
      </c>
      <c r="O104" s="131">
        <f t="shared" si="70"/>
        <v>1118.5388600000001</v>
      </c>
      <c r="P104" s="131">
        <f t="shared" si="70"/>
        <v>1127.131259</v>
      </c>
      <c r="Q104" s="133">
        <f t="shared" si="70"/>
        <v>1168.8406190000001</v>
      </c>
    </row>
    <row r="105" spans="1:17" s="3" customFormat="1" ht="15.6" x14ac:dyDescent="0.6">
      <c r="A105" s="208" t="s">
        <v>90</v>
      </c>
      <c r="B105" s="117" t="s">
        <v>47</v>
      </c>
      <c r="C105" s="112">
        <f>$C$95*C83+$C$96*C86+$C$97*C89</f>
        <v>14.8195</v>
      </c>
      <c r="D105" s="112">
        <f t="shared" ref="D105:Q105" si="71">$C$95*D83+$C$96*D86+$C$97*D89</f>
        <v>14.85</v>
      </c>
      <c r="E105" s="169">
        <f t="shared" si="71"/>
        <v>14.85</v>
      </c>
      <c r="F105" s="169">
        <f t="shared" si="71"/>
        <v>14.8805</v>
      </c>
      <c r="G105" s="112">
        <f t="shared" si="71"/>
        <v>14.8805</v>
      </c>
      <c r="H105" s="104">
        <f t="shared" si="71"/>
        <v>4174.9199010000002</v>
      </c>
      <c r="I105" s="170">
        <f t="shared" si="71"/>
        <v>4183.5123000000003</v>
      </c>
      <c r="J105" s="170">
        <f t="shared" si="71"/>
        <v>4183.5123000000003</v>
      </c>
      <c r="K105" s="104">
        <f t="shared" si="71"/>
        <v>4192.1046990000004</v>
      </c>
      <c r="L105" s="104">
        <f t="shared" si="71"/>
        <v>4192.1046990000004</v>
      </c>
      <c r="M105" s="104">
        <f t="shared" si="71"/>
        <v>-50.850099</v>
      </c>
      <c r="N105" s="104">
        <f t="shared" si="71"/>
        <v>-42.2577</v>
      </c>
      <c r="O105" s="170">
        <f t="shared" si="71"/>
        <v>-42.2577</v>
      </c>
      <c r="P105" s="170">
        <f t="shared" si="71"/>
        <v>-33.665300999999999</v>
      </c>
      <c r="Q105" s="104">
        <f t="shared" si="71"/>
        <v>-33.665300999999999</v>
      </c>
    </row>
    <row r="106" spans="1:17" s="3" customFormat="1" ht="15.6" x14ac:dyDescent="0.6">
      <c r="A106" s="209"/>
      <c r="B106" s="84" t="s">
        <v>48</v>
      </c>
      <c r="C106" s="112">
        <f>$C$95*C84+$C$96*C87+$C$97*C90</f>
        <v>2.516</v>
      </c>
      <c r="D106" s="112">
        <f t="shared" ref="D106:Q106" si="72">$C$95*D84+$C$96*D87+$C$97*D90</f>
        <v>2.516</v>
      </c>
      <c r="E106" s="169">
        <f t="shared" si="72"/>
        <v>2.6379999999999999</v>
      </c>
      <c r="F106" s="169">
        <f t="shared" si="72"/>
        <v>2.6379999999999999</v>
      </c>
      <c r="G106" s="112">
        <f t="shared" si="72"/>
        <v>2.76</v>
      </c>
      <c r="H106" s="104">
        <f t="shared" si="72"/>
        <v>1146.8934400000003</v>
      </c>
      <c r="I106" s="170">
        <f t="shared" si="72"/>
        <v>1146.8934400000003</v>
      </c>
      <c r="J106" s="170">
        <f t="shared" si="72"/>
        <v>1202.5059200000001</v>
      </c>
      <c r="K106" s="104">
        <f t="shared" si="72"/>
        <v>1202.5059200000001</v>
      </c>
      <c r="L106" s="104">
        <f t="shared" si="72"/>
        <v>1258.1184000000001</v>
      </c>
      <c r="M106" s="104">
        <f t="shared" si="72"/>
        <v>1146.8934400000003</v>
      </c>
      <c r="N106" s="104">
        <f t="shared" si="72"/>
        <v>1146.8934400000003</v>
      </c>
      <c r="O106" s="170">
        <f t="shared" si="72"/>
        <v>1202.5059200000001</v>
      </c>
      <c r="P106" s="170">
        <f t="shared" si="72"/>
        <v>1202.5059200000001</v>
      </c>
      <c r="Q106" s="104">
        <f t="shared" si="72"/>
        <v>1258.1184000000001</v>
      </c>
    </row>
    <row r="107" spans="1:17" ht="15.9" thickBot="1" x14ac:dyDescent="0.65">
      <c r="A107" s="210" t="s">
        <v>71</v>
      </c>
      <c r="B107" s="211"/>
      <c r="C107" s="129">
        <f>SUM(C105:C106)</f>
        <v>17.3355</v>
      </c>
      <c r="D107" s="129">
        <f t="shared" ref="D107:G107" si="73">SUM(D105:D106)</f>
        <v>17.366</v>
      </c>
      <c r="E107" s="129">
        <f t="shared" si="73"/>
        <v>17.488</v>
      </c>
      <c r="F107" s="129">
        <f t="shared" si="73"/>
        <v>17.5185</v>
      </c>
      <c r="G107" s="129">
        <f t="shared" si="73"/>
        <v>17.640499999999999</v>
      </c>
      <c r="H107" s="130">
        <f>SUM(H105:H106)</f>
        <v>5321.8133410000009</v>
      </c>
      <c r="I107" s="131">
        <f t="shared" ref="I107:Q107" si="74">SUM(I105:I106)</f>
        <v>5330.4057400000002</v>
      </c>
      <c r="J107" s="131">
        <f t="shared" si="74"/>
        <v>5386.0182199999999</v>
      </c>
      <c r="K107" s="131">
        <f t="shared" si="74"/>
        <v>5394.610619000001</v>
      </c>
      <c r="L107" s="132">
        <f t="shared" si="74"/>
        <v>5450.2230990000007</v>
      </c>
      <c r="M107" s="130">
        <f t="shared" si="74"/>
        <v>1096.0433410000003</v>
      </c>
      <c r="N107" s="131">
        <f t="shared" si="74"/>
        <v>1104.6357400000002</v>
      </c>
      <c r="O107" s="131">
        <f t="shared" si="74"/>
        <v>1160.2482199999999</v>
      </c>
      <c r="P107" s="131">
        <f t="shared" si="74"/>
        <v>1168.8406190000001</v>
      </c>
      <c r="Q107" s="133">
        <f t="shared" si="74"/>
        <v>1224.4530990000001</v>
      </c>
    </row>
    <row r="108" spans="1:17" ht="15.6" x14ac:dyDescent="0.6">
      <c r="A108" s="208" t="s">
        <v>91</v>
      </c>
      <c r="B108" s="117" t="s">
        <v>47</v>
      </c>
      <c r="C108" s="112">
        <f>$D$95*C83+$D$96*C86+$D$97*C89</f>
        <v>14.638999999999999</v>
      </c>
      <c r="D108" s="112">
        <f t="shared" ref="D108:Q108" si="75">$D$95*D83+$D$96*D86+$D$97*D89</f>
        <v>14.7</v>
      </c>
      <c r="E108" s="112">
        <f t="shared" si="75"/>
        <v>14.7</v>
      </c>
      <c r="F108" s="112">
        <f t="shared" si="75"/>
        <v>14.760999999999999</v>
      </c>
      <c r="G108" s="169">
        <f t="shared" si="75"/>
        <v>14.760999999999999</v>
      </c>
      <c r="H108" s="104">
        <f t="shared" si="75"/>
        <v>4124.069802</v>
      </c>
      <c r="I108" s="104">
        <f t="shared" si="75"/>
        <v>4141.2546000000002</v>
      </c>
      <c r="J108" s="104">
        <f t="shared" si="75"/>
        <v>4141.2546000000002</v>
      </c>
      <c r="K108" s="170">
        <f t="shared" si="75"/>
        <v>4158.4393980000004</v>
      </c>
      <c r="L108" s="104">
        <f t="shared" si="75"/>
        <v>4158.4393980000004</v>
      </c>
      <c r="M108" s="104">
        <f t="shared" si="75"/>
        <v>-101.700198</v>
      </c>
      <c r="N108" s="104">
        <f t="shared" si="75"/>
        <v>-84.5154</v>
      </c>
      <c r="O108" s="104">
        <f t="shared" si="75"/>
        <v>-84.5154</v>
      </c>
      <c r="P108" s="104">
        <f t="shared" si="75"/>
        <v>-67.330601999999999</v>
      </c>
      <c r="Q108" s="170">
        <f t="shared" si="75"/>
        <v>-67.330601999999999</v>
      </c>
    </row>
    <row r="109" spans="1:17" ht="15.6" x14ac:dyDescent="0.6">
      <c r="A109" s="209"/>
      <c r="B109" s="84" t="s">
        <v>48</v>
      </c>
      <c r="C109" s="112">
        <f>$D$95*C84+$D$96*C87+$D$97*C90</f>
        <v>2.91</v>
      </c>
      <c r="D109" s="112">
        <f t="shared" ref="D109:Q109" si="76">$D$95*D84+$D$96*D87+$D$97*D90</f>
        <v>2.91</v>
      </c>
      <c r="E109" s="112">
        <f t="shared" si="76"/>
        <v>3.093</v>
      </c>
      <c r="F109" s="112">
        <f t="shared" si="76"/>
        <v>3.093</v>
      </c>
      <c r="G109" s="169">
        <f t="shared" si="76"/>
        <v>3.2760000000000002</v>
      </c>
      <c r="H109" s="104">
        <f t="shared" si="76"/>
        <v>1326.4944</v>
      </c>
      <c r="I109" s="104">
        <f t="shared" si="76"/>
        <v>1326.4944</v>
      </c>
      <c r="J109" s="104">
        <f t="shared" si="76"/>
        <v>1409.9131200000002</v>
      </c>
      <c r="K109" s="170">
        <f t="shared" si="76"/>
        <v>1409.9131200000002</v>
      </c>
      <c r="L109" s="104">
        <f t="shared" si="76"/>
        <v>1493.3318400000003</v>
      </c>
      <c r="M109" s="104">
        <f t="shared" si="76"/>
        <v>1326.4944</v>
      </c>
      <c r="N109" s="104">
        <f t="shared" si="76"/>
        <v>1326.4944</v>
      </c>
      <c r="O109" s="104">
        <f t="shared" si="76"/>
        <v>1409.9131200000002</v>
      </c>
      <c r="P109" s="104">
        <f t="shared" si="76"/>
        <v>1409.9131200000002</v>
      </c>
      <c r="Q109" s="170">
        <f t="shared" si="76"/>
        <v>1493.3318400000003</v>
      </c>
    </row>
    <row r="110" spans="1:17" ht="15.9" thickBot="1" x14ac:dyDescent="0.65">
      <c r="A110" s="210" t="s">
        <v>71</v>
      </c>
      <c r="B110" s="211"/>
      <c r="C110" s="129">
        <f>SUM(C108:C109)</f>
        <v>17.548999999999999</v>
      </c>
      <c r="D110" s="129">
        <f t="shared" ref="D110:G110" si="77">SUM(D108:D109)</f>
        <v>17.61</v>
      </c>
      <c r="E110" s="129">
        <f t="shared" si="77"/>
        <v>17.792999999999999</v>
      </c>
      <c r="F110" s="129">
        <f t="shared" si="77"/>
        <v>17.853999999999999</v>
      </c>
      <c r="G110" s="129">
        <f t="shared" si="77"/>
        <v>18.036999999999999</v>
      </c>
      <c r="H110" s="130">
        <f>SUM(H108:H109)</f>
        <v>5450.5642019999996</v>
      </c>
      <c r="I110" s="131">
        <f t="shared" ref="I110:Q110" si="78">SUM(I108:I109)</f>
        <v>5467.7489999999998</v>
      </c>
      <c r="J110" s="131">
        <f t="shared" si="78"/>
        <v>5551.1677200000004</v>
      </c>
      <c r="K110" s="131">
        <f t="shared" si="78"/>
        <v>5568.3525180000006</v>
      </c>
      <c r="L110" s="132">
        <f t="shared" si="78"/>
        <v>5651.7712380000012</v>
      </c>
      <c r="M110" s="130">
        <f t="shared" si="78"/>
        <v>1224.794202</v>
      </c>
      <c r="N110" s="131">
        <f t="shared" si="78"/>
        <v>1241.979</v>
      </c>
      <c r="O110" s="131">
        <f t="shared" si="78"/>
        <v>1325.3977200000002</v>
      </c>
      <c r="P110" s="131">
        <f t="shared" si="78"/>
        <v>1342.5825180000002</v>
      </c>
      <c r="Q110" s="133">
        <f t="shared" si="78"/>
        <v>1426.0012380000003</v>
      </c>
    </row>
    <row r="111" spans="1:17" ht="15.6" x14ac:dyDescent="0.6">
      <c r="A111" s="212" t="s">
        <v>82</v>
      </c>
      <c r="B111" s="117" t="s">
        <v>47</v>
      </c>
      <c r="C111" s="169">
        <f>C102</f>
        <v>14.8195</v>
      </c>
      <c r="D111" s="169">
        <f>D102</f>
        <v>14.85</v>
      </c>
      <c r="E111" s="169">
        <f>E105</f>
        <v>14.85</v>
      </c>
      <c r="F111" s="169">
        <f>F105</f>
        <v>14.8805</v>
      </c>
      <c r="G111" s="169">
        <f>G108</f>
        <v>14.760999999999999</v>
      </c>
      <c r="H111" s="170">
        <f>H102</f>
        <v>4174.9199010000002</v>
      </c>
      <c r="I111" s="170">
        <f>I102</f>
        <v>4183.5123000000003</v>
      </c>
      <c r="J111" s="170">
        <f>J105</f>
        <v>4183.5123000000003</v>
      </c>
      <c r="K111" s="170">
        <f>K105</f>
        <v>4192.1046990000004</v>
      </c>
      <c r="L111" s="170">
        <f>L108</f>
        <v>4158.4393980000004</v>
      </c>
      <c r="M111" s="170">
        <f>M102</f>
        <v>-50.850099</v>
      </c>
      <c r="N111" s="170">
        <f>N102</f>
        <v>-42.2577</v>
      </c>
      <c r="O111" s="170">
        <f>O105</f>
        <v>-42.2577</v>
      </c>
      <c r="P111" s="170">
        <f>P105</f>
        <v>-33.665300999999999</v>
      </c>
      <c r="Q111" s="170">
        <f>Q108</f>
        <v>-67.330601999999999</v>
      </c>
    </row>
    <row r="112" spans="1:17" ht="15.6" x14ac:dyDescent="0.6">
      <c r="A112" s="213"/>
      <c r="B112" s="84" t="s">
        <v>48</v>
      </c>
      <c r="C112" s="169">
        <f>C103</f>
        <v>2.4550000000000001</v>
      </c>
      <c r="D112" s="169">
        <f>D103</f>
        <v>2.4550000000000001</v>
      </c>
      <c r="E112" s="169">
        <f>E106</f>
        <v>2.6379999999999999</v>
      </c>
      <c r="F112" s="169">
        <f>F106</f>
        <v>2.6379999999999999</v>
      </c>
      <c r="G112" s="169">
        <f>G109</f>
        <v>3.2760000000000002</v>
      </c>
      <c r="H112" s="170">
        <f>H103</f>
        <v>1119.0871999999999</v>
      </c>
      <c r="I112" s="170">
        <f>I103</f>
        <v>1119.0871999999999</v>
      </c>
      <c r="J112" s="170">
        <f>J106</f>
        <v>1202.5059200000001</v>
      </c>
      <c r="K112" s="170">
        <f>K106</f>
        <v>1202.5059200000001</v>
      </c>
      <c r="L112" s="170">
        <f>L109</f>
        <v>1493.3318400000003</v>
      </c>
      <c r="M112" s="170">
        <f>M103</f>
        <v>1119.0871999999999</v>
      </c>
      <c r="N112" s="170">
        <f>N103</f>
        <v>1119.0871999999999</v>
      </c>
      <c r="O112" s="170">
        <f>O106</f>
        <v>1202.5059200000001</v>
      </c>
      <c r="P112" s="170">
        <f>P106</f>
        <v>1202.5059200000001</v>
      </c>
      <c r="Q112" s="170">
        <f>Q109</f>
        <v>1493.3318400000003</v>
      </c>
    </row>
    <row r="113" spans="1:17" ht="18.600000000000001" thickBot="1" x14ac:dyDescent="0.75">
      <c r="A113" s="214" t="s">
        <v>71</v>
      </c>
      <c r="B113" s="215"/>
      <c r="C113" s="171">
        <f>SUM(C111:C112)</f>
        <v>17.2745</v>
      </c>
      <c r="D113" s="171">
        <f t="shared" ref="D113:G113" si="79">SUM(D111:D112)</f>
        <v>17.305</v>
      </c>
      <c r="E113" s="171">
        <f t="shared" si="79"/>
        <v>17.488</v>
      </c>
      <c r="F113" s="171">
        <f t="shared" si="79"/>
        <v>17.5185</v>
      </c>
      <c r="G113" s="171">
        <f t="shared" si="79"/>
        <v>18.036999999999999</v>
      </c>
      <c r="H113" s="172">
        <f>SUM(H111:H112)</f>
        <v>5294.0071010000001</v>
      </c>
      <c r="I113" s="173">
        <f t="shared" ref="I113:Q113" si="80">SUM(I111:I112)</f>
        <v>5302.5995000000003</v>
      </c>
      <c r="J113" s="173">
        <f t="shared" si="80"/>
        <v>5386.0182199999999</v>
      </c>
      <c r="K113" s="173">
        <f t="shared" si="80"/>
        <v>5394.610619000001</v>
      </c>
      <c r="L113" s="174">
        <f t="shared" si="80"/>
        <v>5651.7712380000012</v>
      </c>
      <c r="M113" s="172">
        <f t="shared" si="80"/>
        <v>1068.2371009999999</v>
      </c>
      <c r="N113" s="173">
        <f t="shared" si="80"/>
        <v>1076.8294999999998</v>
      </c>
      <c r="O113" s="173">
        <f t="shared" si="80"/>
        <v>1160.2482199999999</v>
      </c>
      <c r="P113" s="173">
        <f t="shared" si="80"/>
        <v>1168.8406190000001</v>
      </c>
      <c r="Q113" s="175">
        <f t="shared" si="80"/>
        <v>1426.0012380000003</v>
      </c>
    </row>
    <row r="114" spans="1:17" ht="14.7" thickBot="1" x14ac:dyDescent="0.6">
      <c r="A114" s="205" t="s">
        <v>94</v>
      </c>
      <c r="B114" s="206"/>
      <c r="C114" s="206"/>
      <c r="D114" s="206"/>
      <c r="E114" s="206"/>
      <c r="F114" s="206"/>
      <c r="G114" s="206"/>
      <c r="H114" s="206"/>
      <c r="I114" s="206"/>
      <c r="J114" s="206"/>
      <c r="K114" s="206"/>
      <c r="L114" s="206"/>
      <c r="M114" s="206"/>
      <c r="N114" s="206"/>
      <c r="O114" s="206"/>
      <c r="P114" s="206"/>
      <c r="Q114" s="207"/>
    </row>
  </sheetData>
  <mergeCells count="79">
    <mergeCell ref="C100:G100"/>
    <mergeCell ref="H100:L100"/>
    <mergeCell ref="M100:Q100"/>
    <mergeCell ref="A101:B101"/>
    <mergeCell ref="A99:Q99"/>
    <mergeCell ref="A100:B100"/>
    <mergeCell ref="M67:Q67"/>
    <mergeCell ref="A75:B75"/>
    <mergeCell ref="N66:P66"/>
    <mergeCell ref="A81:B81"/>
    <mergeCell ref="C81:G81"/>
    <mergeCell ref="H81:L81"/>
    <mergeCell ref="M81:Q81"/>
    <mergeCell ref="A68:B68"/>
    <mergeCell ref="A69:A70"/>
    <mergeCell ref="A71:A72"/>
    <mergeCell ref="A73:A74"/>
    <mergeCell ref="M45:Q45"/>
    <mergeCell ref="A51:A52"/>
    <mergeCell ref="A45:B45"/>
    <mergeCell ref="A46:B46"/>
    <mergeCell ref="A58:A59"/>
    <mergeCell ref="H56:L56"/>
    <mergeCell ref="M56:Q56"/>
    <mergeCell ref="H45:L45"/>
    <mergeCell ref="A47:A48"/>
    <mergeCell ref="A49:A50"/>
    <mergeCell ref="A53:B53"/>
    <mergeCell ref="C45:G45"/>
    <mergeCell ref="A56:B56"/>
    <mergeCell ref="C56:G56"/>
    <mergeCell ref="A57:B57"/>
    <mergeCell ref="A2:K3"/>
    <mergeCell ref="A35:A38"/>
    <mergeCell ref="A9:B9"/>
    <mergeCell ref="A5:B5"/>
    <mergeCell ref="A14:B14"/>
    <mergeCell ref="B28:C28"/>
    <mergeCell ref="B29:C29"/>
    <mergeCell ref="A28:A34"/>
    <mergeCell ref="A27:C27"/>
    <mergeCell ref="B30:C30"/>
    <mergeCell ref="B31:C31"/>
    <mergeCell ref="B32:C32"/>
    <mergeCell ref="A21:A22"/>
    <mergeCell ref="B22:C22"/>
    <mergeCell ref="B23:C23"/>
    <mergeCell ref="B24:C24"/>
    <mergeCell ref="A89:A90"/>
    <mergeCell ref="A91:B91"/>
    <mergeCell ref="B37:C37"/>
    <mergeCell ref="B38:C38"/>
    <mergeCell ref="K26:L26"/>
    <mergeCell ref="B35:C35"/>
    <mergeCell ref="B36:C36"/>
    <mergeCell ref="B33:C33"/>
    <mergeCell ref="B34:C34"/>
    <mergeCell ref="A60:A61"/>
    <mergeCell ref="A62:A63"/>
    <mergeCell ref="A64:B64"/>
    <mergeCell ref="A67:B67"/>
    <mergeCell ref="C67:G67"/>
    <mergeCell ref="H67:L67"/>
    <mergeCell ref="A82:B82"/>
    <mergeCell ref="A23:A24"/>
    <mergeCell ref="B21:C21"/>
    <mergeCell ref="A83:A84"/>
    <mergeCell ref="A86:A87"/>
    <mergeCell ref="A88:B88"/>
    <mergeCell ref="A85:B85"/>
    <mergeCell ref="A114:Q114"/>
    <mergeCell ref="A102:A103"/>
    <mergeCell ref="A105:A106"/>
    <mergeCell ref="A107:B107"/>
    <mergeCell ref="A108:A109"/>
    <mergeCell ref="A110:B110"/>
    <mergeCell ref="A111:A112"/>
    <mergeCell ref="A113:B113"/>
    <mergeCell ref="A104:B104"/>
  </mergeCells>
  <phoneticPr fontId="11" type="noConversion"/>
  <hyperlinks>
    <hyperlink ref="A95" r:id="rId1" display="שיעור משקי בית שיממשו הטבה באופן א" xr:uid="{94199BF3-EC27-4B7D-90CB-7082D27BA55C}"/>
    <hyperlink ref="A96:A97" r:id="rId2" display="שיעור משקי בית שיממשו הטבה באופן א" xr:uid="{30E9F1BC-1E6B-4AC1-B42A-03EF1F454D88}"/>
    <hyperlink ref="A8" r:id="rId3" xr:uid="{56E4CDB6-E9F8-4A3E-A936-B8B73D7C16B5}"/>
  </hyperlinks>
  <pageMargins left="0.7" right="0.7" top="0.75" bottom="0.75" header="0.3" footer="0.3"/>
  <pageSetup orientation="portrait"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0C09611-E302-4F1C-B24F-04735BF50719}">
          <x14:formula1>
            <xm:f>'אפשרויות בחירה'!$C$3:$C$12</xm:f>
          </x14:formula1>
          <xm:sqref>D28:D33</xm:sqref>
        </x14:dataValidation>
        <x14:dataValidation type="list" allowBlank="1" showInputMessage="1" showErrorMessage="1" xr:uid="{DE5FFA49-51DF-40A0-B3B1-466D8FE15CC4}">
          <x14:formula1>
            <xm:f>'אפשרויות בחירה'!$A$3:$A$4</xm:f>
          </x14:formula1>
          <xm:sqref>B8</xm:sqref>
        </x14:dataValidation>
        <x14:dataValidation type="list" allowBlank="1" showInputMessage="1" showErrorMessage="1" xr:uid="{37D46F1F-73E3-4C36-9E50-F62E4F87E3E7}">
          <x14:formula1>
            <xm:f>'אפשרויות בחירה'!$B$3:$B$4</xm:f>
          </x14:formula1>
          <xm:sqref>B17</xm:sqref>
        </x14:dataValidation>
        <x14:dataValidation type="list" allowBlank="1" showInputMessage="1" showErrorMessage="1" xr:uid="{46E4AD23-B3EB-49FC-AC6B-E2720BE5A2F1}">
          <x14:formula1>
            <xm:f>'אפשרויות בחירה'!$C$3:$C$15</xm:f>
          </x14:formula1>
          <xm:sqref>D35:D37 Q66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DA43A-E8C2-425F-A2C1-713D6F4797C7}">
  <dimension ref="A1:L32"/>
  <sheetViews>
    <sheetView rightToLeft="1" workbookViewId="0">
      <selection activeCell="B19" sqref="B19"/>
    </sheetView>
  </sheetViews>
  <sheetFormatPr defaultRowHeight="14.4" x14ac:dyDescent="0.55000000000000004"/>
  <cols>
    <col min="1" max="1" width="27.47265625" customWidth="1"/>
    <col min="2" max="2" width="16.83984375" customWidth="1"/>
    <col min="3" max="3" width="9.5234375" customWidth="1"/>
    <col min="4" max="4" width="19.7890625" customWidth="1"/>
    <col min="5" max="5" width="13.89453125" customWidth="1"/>
    <col min="7" max="7" width="28.5234375" customWidth="1"/>
    <col min="8" max="8" width="13.578125" customWidth="1"/>
  </cols>
  <sheetData>
    <row r="1" spans="1:12" ht="18.3" x14ac:dyDescent="0.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4"/>
    </row>
    <row r="2" spans="1:12" ht="18.600000000000001" thickBot="1" x14ac:dyDescent="0.75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x14ac:dyDescent="0.55000000000000004">
      <c r="A3" s="259" t="s">
        <v>3</v>
      </c>
      <c r="B3" s="260"/>
      <c r="C3" s="3"/>
      <c r="D3" s="3"/>
      <c r="E3" s="3"/>
      <c r="F3" s="3"/>
      <c r="G3" s="3"/>
      <c r="H3" s="3"/>
      <c r="I3" s="3"/>
      <c r="J3" s="3"/>
      <c r="K3" s="3"/>
    </row>
    <row r="4" spans="1:12" x14ac:dyDescent="0.55000000000000004">
      <c r="A4" s="46" t="s">
        <v>45</v>
      </c>
      <c r="B4" s="50">
        <v>0.3</v>
      </c>
      <c r="C4" s="3"/>
      <c r="D4" s="3"/>
      <c r="E4" s="3"/>
      <c r="F4" s="3"/>
      <c r="G4" s="3"/>
      <c r="H4" s="3"/>
      <c r="I4" s="3"/>
      <c r="J4" s="3"/>
      <c r="K4" s="3"/>
    </row>
    <row r="5" spans="1:12" x14ac:dyDescent="0.55000000000000004">
      <c r="A5" s="46" t="s">
        <v>46</v>
      </c>
      <c r="B5" s="50">
        <v>0.3</v>
      </c>
      <c r="C5" s="3"/>
      <c r="D5" s="3"/>
      <c r="E5" s="3"/>
      <c r="F5" s="3"/>
      <c r="G5" s="3"/>
      <c r="H5" s="3"/>
      <c r="I5" s="3"/>
      <c r="J5" s="3"/>
      <c r="K5" s="3"/>
    </row>
    <row r="6" spans="1:12" x14ac:dyDescent="0.55000000000000004">
      <c r="A6" s="12" t="s">
        <v>44</v>
      </c>
      <c r="B6" s="50">
        <f>1-(B5+B4)</f>
        <v>0.4</v>
      </c>
      <c r="C6" s="3"/>
      <c r="D6" s="3"/>
      <c r="E6" s="3"/>
      <c r="F6" s="3"/>
      <c r="G6" s="3"/>
      <c r="H6" s="3"/>
      <c r="I6" s="3"/>
      <c r="J6" s="3"/>
      <c r="K6" s="3"/>
    </row>
    <row r="7" spans="1:12" x14ac:dyDescent="0.55000000000000004">
      <c r="A7" s="46" t="s">
        <v>12</v>
      </c>
      <c r="B7" s="51">
        <v>185000</v>
      </c>
      <c r="C7" s="3"/>
      <c r="D7" s="3"/>
      <c r="E7" s="3"/>
      <c r="F7" s="3"/>
      <c r="G7" s="3"/>
      <c r="H7" s="3"/>
      <c r="I7" s="3"/>
      <c r="J7" s="3"/>
      <c r="K7" s="3"/>
    </row>
    <row r="8" spans="1:12" ht="18.3" x14ac:dyDescent="0.7">
      <c r="A8" s="261" t="s">
        <v>4</v>
      </c>
      <c r="B8" s="262"/>
      <c r="C8" s="4"/>
      <c r="D8" s="4"/>
      <c r="E8" s="4"/>
      <c r="F8" s="4"/>
      <c r="G8" s="4"/>
      <c r="H8" s="4"/>
    </row>
    <row r="9" spans="1:12" ht="18.600000000000001" thickBot="1" x14ac:dyDescent="0.75">
      <c r="A9" s="48" t="s">
        <v>5</v>
      </c>
      <c r="B9" s="52">
        <v>0.72</v>
      </c>
      <c r="C9" s="4"/>
      <c r="D9" s="4"/>
      <c r="E9" s="4"/>
      <c r="F9" s="4"/>
      <c r="G9" s="3"/>
      <c r="H9" s="3"/>
      <c r="I9" s="3"/>
      <c r="J9" s="3"/>
      <c r="K9" s="3"/>
    </row>
    <row r="11" spans="1:12" ht="18.600000000000001" thickBot="1" x14ac:dyDescent="0.75">
      <c r="A11" s="1" t="s">
        <v>16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 x14ac:dyDescent="0.55000000000000004">
      <c r="A12" s="54" t="s">
        <v>36</v>
      </c>
      <c r="B12" s="45"/>
      <c r="C12" s="61"/>
      <c r="D12" s="66" t="s">
        <v>42</v>
      </c>
      <c r="E12" s="3"/>
      <c r="F12" s="3"/>
      <c r="G12" s="3"/>
      <c r="H12" s="3"/>
      <c r="I12" s="3"/>
      <c r="J12" s="3"/>
      <c r="K12" s="3"/>
    </row>
    <row r="13" spans="1:12" x14ac:dyDescent="0.55000000000000004">
      <c r="A13" s="46" t="s">
        <v>18</v>
      </c>
      <c r="B13" s="8">
        <f>4225424000/1000000</f>
        <v>4225.424</v>
      </c>
      <c r="C13" s="62"/>
      <c r="D13" s="67">
        <f>B13</f>
        <v>4225.424</v>
      </c>
    </row>
    <row r="14" spans="1:12" x14ac:dyDescent="0.55000000000000004">
      <c r="A14" s="47" t="s">
        <v>29</v>
      </c>
      <c r="B14" s="44"/>
      <c r="C14" s="63"/>
      <c r="D14" s="68"/>
    </row>
    <row r="15" spans="1:12" x14ac:dyDescent="0.55000000000000004">
      <c r="A15" s="46" t="s">
        <v>30</v>
      </c>
      <c r="B15" s="43">
        <f>(141.1+139.3+136.7)/(141.1+139.3+136.7+892.1+826.8+744.1)</f>
        <v>0.14482136036943161</v>
      </c>
      <c r="C15" s="62"/>
      <c r="D15" s="263">
        <f>B15*B16</f>
        <v>748.63476118884762</v>
      </c>
    </row>
    <row r="16" spans="1:12" x14ac:dyDescent="0.55000000000000004">
      <c r="A16" s="46" t="s">
        <v>20</v>
      </c>
      <c r="B16" s="8">
        <f>5169367000/1000000</f>
        <v>5169.3670000000002</v>
      </c>
      <c r="C16" s="62"/>
      <c r="D16" s="264"/>
    </row>
    <row r="17" spans="1:5" x14ac:dyDescent="0.55000000000000004">
      <c r="A17" s="47" t="s">
        <v>17</v>
      </c>
      <c r="B17" s="44"/>
      <c r="C17" s="63"/>
      <c r="D17" s="68"/>
    </row>
    <row r="18" spans="1:5" x14ac:dyDescent="0.55000000000000004">
      <c r="A18" s="46" t="s">
        <v>19</v>
      </c>
      <c r="B18" s="8">
        <f>3105772000/1000000</f>
        <v>3105.7719999999999</v>
      </c>
      <c r="C18" s="62"/>
      <c r="D18" s="263">
        <f>B18*B19</f>
        <v>621.15440000000001</v>
      </c>
    </row>
    <row r="19" spans="1:5" x14ac:dyDescent="0.55000000000000004">
      <c r="A19" s="12" t="s">
        <v>37</v>
      </c>
      <c r="B19" s="43">
        <v>0.2</v>
      </c>
      <c r="C19" s="62"/>
      <c r="D19" s="264"/>
    </row>
    <row r="20" spans="1:5" x14ac:dyDescent="0.55000000000000004">
      <c r="A20" s="47" t="s">
        <v>38</v>
      </c>
      <c r="B20" s="44" t="s">
        <v>34</v>
      </c>
      <c r="C20" s="69" t="s">
        <v>35</v>
      </c>
      <c r="D20" s="70"/>
    </row>
    <row r="21" spans="1:5" x14ac:dyDescent="0.55000000000000004">
      <c r="A21" s="46" t="s">
        <v>31</v>
      </c>
      <c r="B21" s="8">
        <v>1778</v>
      </c>
      <c r="C21" s="64">
        <v>2000</v>
      </c>
      <c r="D21" s="263">
        <f>(B22*B5*B7*B9+B23*B6*B7*B9-((C21-B21)*B4*B7*B9))/1000000</f>
        <v>51.49512</v>
      </c>
    </row>
    <row r="22" spans="1:5" x14ac:dyDescent="0.55000000000000004">
      <c r="A22" s="46" t="s">
        <v>32</v>
      </c>
      <c r="B22" s="8">
        <v>800</v>
      </c>
      <c r="C22" s="62">
        <v>0</v>
      </c>
      <c r="D22" s="265"/>
      <c r="E22" s="42"/>
    </row>
    <row r="23" spans="1:5" ht="14.7" thickBot="1" x14ac:dyDescent="0.6">
      <c r="A23" s="48" t="s">
        <v>33</v>
      </c>
      <c r="B23" s="49">
        <v>533</v>
      </c>
      <c r="C23" s="65">
        <v>0</v>
      </c>
      <c r="D23" s="266"/>
    </row>
    <row r="24" spans="1:5" ht="14.7" thickBot="1" x14ac:dyDescent="0.6">
      <c r="B24" s="13"/>
    </row>
    <row r="25" spans="1:5" ht="18.600000000000001" thickBot="1" x14ac:dyDescent="0.75">
      <c r="A25" s="53" t="s">
        <v>21</v>
      </c>
      <c r="B25" s="60">
        <f>D13+D15+D18+D21</f>
        <v>5646.7082811888476</v>
      </c>
      <c r="C25" s="55"/>
      <c r="D25" s="56"/>
    </row>
    <row r="26" spans="1:5" x14ac:dyDescent="0.55000000000000004">
      <c r="B26" s="18"/>
    </row>
    <row r="27" spans="1:5" ht="14.7" thickBot="1" x14ac:dyDescent="0.6">
      <c r="B27" s="18"/>
    </row>
    <row r="28" spans="1:5" x14ac:dyDescent="0.55000000000000004">
      <c r="A28" s="199" t="s">
        <v>100</v>
      </c>
      <c r="B28" s="200" t="s">
        <v>99</v>
      </c>
    </row>
    <row r="29" spans="1:5" x14ac:dyDescent="0.55000000000000004">
      <c r="A29" s="201" t="s">
        <v>96</v>
      </c>
      <c r="B29" s="202">
        <f>D15</f>
        <v>748.63476118884762</v>
      </c>
    </row>
    <row r="30" spans="1:5" x14ac:dyDescent="0.55000000000000004">
      <c r="A30" s="12" t="s">
        <v>97</v>
      </c>
      <c r="B30" s="202">
        <f>D21</f>
        <v>51.49512</v>
      </c>
    </row>
    <row r="31" spans="1:5" x14ac:dyDescent="0.55000000000000004">
      <c r="A31" s="12" t="s">
        <v>98</v>
      </c>
      <c r="B31" s="202">
        <f>D18</f>
        <v>621.15440000000001</v>
      </c>
    </row>
    <row r="32" spans="1:5" ht="14.7" thickBot="1" x14ac:dyDescent="0.6">
      <c r="A32" s="203" t="s">
        <v>10</v>
      </c>
      <c r="B32" s="204">
        <f>SUM(B29:B31)</f>
        <v>1421.2842811888477</v>
      </c>
    </row>
  </sheetData>
  <mergeCells count="5">
    <mergeCell ref="A3:B3"/>
    <mergeCell ref="A8:B8"/>
    <mergeCell ref="D15:D16"/>
    <mergeCell ref="D18:D19"/>
    <mergeCell ref="D21:D23"/>
  </mergeCells>
  <dataValidations count="1">
    <dataValidation operator="equal" allowBlank="1" showInputMessage="1" showErrorMessage="1" sqref="B13" xr:uid="{8A7A7CC7-DD96-45CB-BAF1-133ABC5B4D8B}"/>
  </dataValidations>
  <hyperlinks>
    <hyperlink ref="A7" r:id="rId1" display="מקבלות מענק לידה" xr:uid="{B17FC7BA-D615-4FCA-B892-342451C13812}"/>
    <hyperlink ref="A5" r:id="rId2" display="שיעור מוערך של לידה ראשונה ושניה" xr:uid="{53203B5D-7038-4FB0-9352-1446912907DE}"/>
    <hyperlink ref="A9" r:id="rId3" xr:uid="{DC2BD783-4976-431D-955C-6C27066BC607}"/>
    <hyperlink ref="A4" r:id="rId4" display="שיעור מוערך של לידה ראשונה ושניה" xr:uid="{9FB276A5-4A4C-4652-BE96-D88E6F337C96}"/>
    <hyperlink ref="A13" r:id="rId5" xr:uid="{E949F021-1D2E-4179-B7D5-DD1AA875B4BF}"/>
    <hyperlink ref="A18" r:id="rId6" xr:uid="{69AC61AB-C405-42BF-BB9A-8FDE4CF51A6A}"/>
    <hyperlink ref="A16" r:id="rId7" xr:uid="{D8EC227E-DE79-43A1-AA4E-AF5F5C38ED8B}"/>
    <hyperlink ref="A15" r:id="rId8" xr:uid="{A9C754E4-0C9A-4AD5-A63E-423222888B49}"/>
    <hyperlink ref="A21" r:id="rId9" xr:uid="{2A597F36-11E6-47DE-82AA-3E287D2887B6}"/>
    <hyperlink ref="A22" r:id="rId10" xr:uid="{6428DC01-6EC8-4E01-A497-C9677B5696FB}"/>
    <hyperlink ref="A23" r:id="rId11" xr:uid="{C19347A3-3F1C-42BC-AB52-DA136E85877B}"/>
  </hyperlinks>
  <pageMargins left="0.7" right="0.7" top="0.75" bottom="0.75" header="0.3" footer="0.3"/>
  <pageSetup orientation="portrait" r:id="rId12"/>
  <legacy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1E8F3-3191-4F24-9971-31F85444631F}">
  <dimension ref="A1:K27"/>
  <sheetViews>
    <sheetView rightToLeft="1" workbookViewId="0">
      <selection activeCell="B24" sqref="B24"/>
    </sheetView>
  </sheetViews>
  <sheetFormatPr defaultRowHeight="14.4" x14ac:dyDescent="0.55000000000000004"/>
  <cols>
    <col min="1" max="1" width="45.3125" customWidth="1"/>
    <col min="2" max="2" width="12.734375" customWidth="1"/>
    <col min="4" max="4" width="26.41796875" customWidth="1"/>
  </cols>
  <sheetData>
    <row r="1" spans="1:11" ht="18.3" x14ac:dyDescent="0.7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55000000000000004">
      <c r="A2" s="269" t="s">
        <v>39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1" x14ac:dyDescent="0.55000000000000004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</row>
    <row r="4" spans="1:11" x14ac:dyDescent="0.55000000000000004">
      <c r="A4" s="267" t="s">
        <v>3</v>
      </c>
      <c r="B4" s="268"/>
      <c r="C4" s="3"/>
      <c r="D4" s="3"/>
      <c r="E4" s="3"/>
      <c r="F4" s="3"/>
      <c r="G4" s="3"/>
      <c r="H4" s="3"/>
      <c r="I4" s="3"/>
      <c r="J4" s="3"/>
      <c r="K4" s="3"/>
    </row>
    <row r="5" spans="1:11" x14ac:dyDescent="0.55000000000000004">
      <c r="A5" s="6" t="s">
        <v>43</v>
      </c>
      <c r="B5" s="9">
        <v>0.61</v>
      </c>
      <c r="C5" s="27"/>
    </row>
    <row r="6" spans="1:11" x14ac:dyDescent="0.55000000000000004">
      <c r="A6" s="2" t="s">
        <v>44</v>
      </c>
      <c r="B6" s="9">
        <f>1-B5</f>
        <v>0.39</v>
      </c>
      <c r="C6" s="20"/>
    </row>
    <row r="7" spans="1:11" x14ac:dyDescent="0.55000000000000004">
      <c r="A7" s="6" t="s">
        <v>22</v>
      </c>
      <c r="B7" s="7">
        <v>185000</v>
      </c>
      <c r="C7" s="21"/>
    </row>
    <row r="8" spans="1:11" x14ac:dyDescent="0.55000000000000004">
      <c r="A8" s="14" t="s">
        <v>23</v>
      </c>
      <c r="B8" s="71">
        <v>1.9E-2</v>
      </c>
      <c r="C8" s="22"/>
    </row>
    <row r="9" spans="1:11" x14ac:dyDescent="0.55000000000000004">
      <c r="A9" s="16" t="s">
        <v>52</v>
      </c>
      <c r="B9" s="8">
        <f>B7*B5</f>
        <v>112850</v>
      </c>
      <c r="C9" s="25"/>
    </row>
    <row r="10" spans="1:11" x14ac:dyDescent="0.55000000000000004">
      <c r="A10" s="16" t="s">
        <v>49</v>
      </c>
      <c r="B10" s="8">
        <f>B7*B6</f>
        <v>72150</v>
      </c>
      <c r="C10" s="23"/>
    </row>
    <row r="11" spans="1:11" x14ac:dyDescent="0.55000000000000004">
      <c r="A11" s="267" t="s">
        <v>4</v>
      </c>
      <c r="B11" s="268"/>
      <c r="C11" s="26"/>
    </row>
    <row r="12" spans="1:11" x14ac:dyDescent="0.55000000000000004">
      <c r="A12" s="6" t="s">
        <v>5</v>
      </c>
      <c r="B12" s="10">
        <v>0.72</v>
      </c>
      <c r="C12" s="25"/>
    </row>
    <row r="13" spans="1:11" x14ac:dyDescent="0.55000000000000004">
      <c r="A13" s="6" t="s">
        <v>6</v>
      </c>
      <c r="B13" s="11">
        <v>0.8</v>
      </c>
      <c r="C13" s="24"/>
    </row>
    <row r="14" spans="1:11" x14ac:dyDescent="0.55000000000000004">
      <c r="A14" s="16" t="s">
        <v>50</v>
      </c>
      <c r="B14" s="72">
        <f>B9*B12</f>
        <v>81252</v>
      </c>
      <c r="C14" s="24"/>
    </row>
    <row r="15" spans="1:11" ht="18.3" x14ac:dyDescent="0.7">
      <c r="A15" s="16" t="s">
        <v>51</v>
      </c>
      <c r="B15" s="8">
        <f>B10*B12</f>
        <v>51948</v>
      </c>
      <c r="C15" s="4"/>
    </row>
    <row r="16" spans="1:11" ht="18.3" x14ac:dyDescent="0.7">
      <c r="A16" s="16" t="s">
        <v>63</v>
      </c>
      <c r="B16" s="76">
        <f>B7*B5*B13</f>
        <v>90280</v>
      </c>
      <c r="C16" s="4"/>
    </row>
    <row r="17" spans="1:11" ht="18.3" x14ac:dyDescent="0.7">
      <c r="A17" s="16" t="s">
        <v>64</v>
      </c>
      <c r="B17" s="76">
        <f>B7*B6*B13</f>
        <v>57720</v>
      </c>
      <c r="C17" s="4"/>
    </row>
    <row r="18" spans="1:11" ht="15.3" customHeight="1" x14ac:dyDescent="0.7">
      <c r="A18" s="267" t="s">
        <v>7</v>
      </c>
      <c r="B18" s="268"/>
      <c r="C18" s="4"/>
    </row>
    <row r="19" spans="1:11" ht="18.3" x14ac:dyDescent="0.7">
      <c r="A19" s="6" t="s">
        <v>8</v>
      </c>
      <c r="B19" s="8">
        <v>1934</v>
      </c>
      <c r="C19" s="4"/>
    </row>
    <row r="20" spans="1:11" ht="18.3" x14ac:dyDescent="0.7">
      <c r="A20" s="6" t="s">
        <v>9</v>
      </c>
      <c r="B20" s="8">
        <v>2817</v>
      </c>
      <c r="C20" s="4"/>
    </row>
    <row r="21" spans="1:11" ht="18.3" x14ac:dyDescent="0.7">
      <c r="A21" s="16" t="s">
        <v>53</v>
      </c>
      <c r="B21" s="73">
        <f>B20/B19</f>
        <v>1.4565667011375387</v>
      </c>
      <c r="C21" s="4"/>
    </row>
    <row r="22" spans="1:11" ht="18.3" x14ac:dyDescent="0.7">
      <c r="A22" s="16" t="s">
        <v>56</v>
      </c>
      <c r="B22" s="8">
        <f>4225000000/(B7*B12)/15</f>
        <v>2114.6146146146148</v>
      </c>
      <c r="C22" s="4"/>
    </row>
    <row r="23" spans="1:11" ht="18.3" x14ac:dyDescent="0.7">
      <c r="A23" s="16" t="s">
        <v>54</v>
      </c>
      <c r="B23" s="73">
        <f>B22/B19</f>
        <v>1.0933891492319621</v>
      </c>
      <c r="C23" s="4"/>
    </row>
    <row r="24" spans="1:11" ht="18.3" x14ac:dyDescent="0.7">
      <c r="A24" s="16" t="s">
        <v>55</v>
      </c>
      <c r="B24" s="8">
        <f>B20*B23</f>
        <v>3080.077233386437</v>
      </c>
      <c r="C24" s="4"/>
    </row>
    <row r="25" spans="1:11" ht="18.3" x14ac:dyDescent="0.7">
      <c r="A25" s="6" t="s">
        <v>25</v>
      </c>
      <c r="B25" s="17">
        <v>2.0799999999999999E-2</v>
      </c>
      <c r="C25" s="4"/>
      <c r="D25" s="5"/>
      <c r="E25" s="5"/>
      <c r="F25" s="5"/>
      <c r="G25" s="5"/>
      <c r="H25" s="5"/>
      <c r="I25" s="5"/>
      <c r="J25" s="5"/>
      <c r="K25" s="5"/>
    </row>
    <row r="26" spans="1:11" ht="18.3" x14ac:dyDescent="0.7">
      <c r="A26" s="6" t="s">
        <v>24</v>
      </c>
      <c r="B26" s="15">
        <v>1.5800000000000002E-2</v>
      </c>
      <c r="C26" s="4"/>
      <c r="D26" s="5"/>
      <c r="E26" s="5"/>
      <c r="F26" s="5"/>
      <c r="G26" s="5"/>
      <c r="H26" s="5"/>
      <c r="I26" s="5"/>
      <c r="J26" s="5"/>
      <c r="K26" s="5"/>
    </row>
    <row r="27" spans="1:11" ht="18.3" x14ac:dyDescent="0.7">
      <c r="A27" s="16" t="s">
        <v>26</v>
      </c>
      <c r="B27" s="15">
        <f>(100%+$B25)/(100%+$B$26)-100%</f>
        <v>4.9222287851937718E-3</v>
      </c>
      <c r="C27" s="4"/>
      <c r="D27" s="5"/>
      <c r="E27" s="5"/>
      <c r="F27" s="5"/>
      <c r="G27" s="5"/>
      <c r="H27" s="5"/>
      <c r="I27" s="5"/>
      <c r="J27" s="5"/>
      <c r="K27" s="5"/>
    </row>
  </sheetData>
  <mergeCells count="4">
    <mergeCell ref="A18:B18"/>
    <mergeCell ref="A2:K3"/>
    <mergeCell ref="A4:B4"/>
    <mergeCell ref="A11:B11"/>
  </mergeCells>
  <dataValidations count="1">
    <dataValidation type="decimal" operator="lessThan" allowBlank="1" showInputMessage="1" showErrorMessage="1" sqref="B26:B27" xr:uid="{7A903E5D-8E66-4E42-B66A-BD64C7036483}">
      <formula1>100</formula1>
    </dataValidation>
  </dataValidations>
  <hyperlinks>
    <hyperlink ref="A7" r:id="rId1" xr:uid="{563F460B-340B-42A2-B2D9-C1EA9A5D5C9D}"/>
    <hyperlink ref="A5" r:id="rId2" display="שיעור מוערך של לידה ראשונה ושניה" xr:uid="{70EB7DCA-8023-43A0-BB59-1A2D269587BE}"/>
    <hyperlink ref="A12" r:id="rId3" xr:uid="{F9E03FD0-2DD4-4A62-BDFF-F73A83C9F3F5}"/>
    <hyperlink ref="A19" r:id="rId4" xr:uid="{FBFCDA6A-455F-4C4F-9D34-476F14377F82}"/>
    <hyperlink ref="A20" r:id="rId5" xr:uid="{B1DBD4EA-682B-4A0F-ADFE-CC9811CF8EB8}"/>
    <hyperlink ref="A13" r:id="rId6" xr:uid="{AB9DE5A7-164A-4B50-B9F3-DED68B34DB68}"/>
    <hyperlink ref="B13" r:id="rId7" display="https://www.cbs.gov.il/he/mediarelease/DocLib/2018/294/20_18_294b.pdf" xr:uid="{F7686AF3-0494-455F-A468-27ADD395F5D6}"/>
    <hyperlink ref="A8" r:id="rId8" xr:uid="{3BF56D21-6C86-4EB9-9EA6-5FDBFC31B46B}"/>
    <hyperlink ref="A26" r:id="rId9" display="אינפלציה ממוצע" xr:uid="{6A4EE96C-2512-4638-901C-53E3ED34C657}"/>
    <hyperlink ref="A25" r:id="rId10" xr:uid="{160A547F-4F2C-41B6-8026-76A2A195B6DB}"/>
  </hyperlinks>
  <pageMargins left="0.7" right="0.7" top="0.75" bottom="0.75" header="0.3" footer="0.3"/>
  <legacy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B1A17-2654-4822-A52A-D34479657188}">
  <dimension ref="A2:C15"/>
  <sheetViews>
    <sheetView rightToLeft="1" tabSelected="1" workbookViewId="0">
      <selection activeCell="F2" sqref="F2"/>
    </sheetView>
  </sheetViews>
  <sheetFormatPr defaultRowHeight="14.4" x14ac:dyDescent="0.55000000000000004"/>
  <cols>
    <col min="1" max="1" width="27.15625" bestFit="1" customWidth="1"/>
    <col min="2" max="2" width="16.5234375" bestFit="1" customWidth="1"/>
    <col min="3" max="3" width="15.89453125" bestFit="1" customWidth="1"/>
  </cols>
  <sheetData>
    <row r="2" spans="1:3" x14ac:dyDescent="0.55000000000000004">
      <c r="A2" s="271" t="s">
        <v>23</v>
      </c>
      <c r="B2" s="270" t="s">
        <v>26</v>
      </c>
      <c r="C2" s="44" t="s">
        <v>88</v>
      </c>
    </row>
    <row r="3" spans="1:3" x14ac:dyDescent="0.55000000000000004">
      <c r="A3" s="43">
        <v>0</v>
      </c>
      <c r="B3" s="43">
        <v>0</v>
      </c>
      <c r="C3" s="2">
        <v>1</v>
      </c>
    </row>
    <row r="4" spans="1:3" x14ac:dyDescent="0.55000000000000004">
      <c r="A4" s="15">
        <v>1.9E-2</v>
      </c>
      <c r="B4" s="15">
        <v>4.8999999999999998E-3</v>
      </c>
      <c r="C4" s="2">
        <v>2</v>
      </c>
    </row>
    <row r="5" spans="1:3" x14ac:dyDescent="0.55000000000000004">
      <c r="A5" s="2"/>
      <c r="B5" s="2"/>
      <c r="C5" s="2">
        <v>3</v>
      </c>
    </row>
    <row r="6" spans="1:3" x14ac:dyDescent="0.55000000000000004">
      <c r="A6" s="2"/>
      <c r="B6" s="2"/>
      <c r="C6" s="2">
        <v>4</v>
      </c>
    </row>
    <row r="7" spans="1:3" x14ac:dyDescent="0.55000000000000004">
      <c r="A7" s="2"/>
      <c r="B7" s="2"/>
      <c r="C7" s="2">
        <v>5</v>
      </c>
    </row>
    <row r="8" spans="1:3" x14ac:dyDescent="0.55000000000000004">
      <c r="A8" s="2"/>
      <c r="B8" s="2"/>
      <c r="C8" s="2">
        <v>6</v>
      </c>
    </row>
    <row r="9" spans="1:3" x14ac:dyDescent="0.55000000000000004">
      <c r="A9" s="2"/>
      <c r="B9" s="2"/>
      <c r="C9" s="2">
        <v>7</v>
      </c>
    </row>
    <row r="10" spans="1:3" x14ac:dyDescent="0.55000000000000004">
      <c r="A10" s="2"/>
      <c r="B10" s="2"/>
      <c r="C10" s="2">
        <v>8</v>
      </c>
    </row>
    <row r="11" spans="1:3" x14ac:dyDescent="0.55000000000000004">
      <c r="A11" s="2"/>
      <c r="B11" s="2"/>
      <c r="C11" s="2">
        <v>9</v>
      </c>
    </row>
    <row r="12" spans="1:3" x14ac:dyDescent="0.55000000000000004">
      <c r="A12" s="2"/>
      <c r="B12" s="2"/>
      <c r="C12" s="2">
        <v>10</v>
      </c>
    </row>
    <row r="13" spans="1:3" x14ac:dyDescent="0.55000000000000004">
      <c r="A13" s="2"/>
      <c r="B13" s="2"/>
      <c r="C13" s="2">
        <v>11</v>
      </c>
    </row>
    <row r="14" spans="1:3" x14ac:dyDescent="0.55000000000000004">
      <c r="A14" s="2"/>
      <c r="B14" s="2"/>
      <c r="C14" s="2">
        <v>12</v>
      </c>
    </row>
    <row r="15" spans="1:3" x14ac:dyDescent="0.55000000000000004">
      <c r="A15" s="2"/>
      <c r="B15" s="2"/>
      <c r="C15" s="2">
        <v>13</v>
      </c>
    </row>
  </sheetData>
  <hyperlinks>
    <hyperlink ref="A2" r:id="rId1" xr:uid="{D6748EFD-6022-4786-B4E3-E7AD57B8A79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עלויות</vt:lpstr>
      <vt:lpstr>מימון</vt:lpstr>
      <vt:lpstr>חישובי פרמטרים</vt:lpstr>
      <vt:lpstr>אפשרויות בחירה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Leyzer</dc:creator>
  <cp:lastModifiedBy>Ron Leyzer</cp:lastModifiedBy>
  <dcterms:created xsi:type="dcterms:W3CDTF">2019-07-18T14:18:22Z</dcterms:created>
  <dcterms:modified xsi:type="dcterms:W3CDTF">2019-10-15T11:07:55Z</dcterms:modified>
</cp:coreProperties>
</file>